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3825" windowWidth="15480" windowHeight="1920" activeTab="0"/>
  </bookViews>
  <sheets>
    <sheet name="Equipment list" sheetId="1" r:id="rId1"/>
    <sheet name="How to use this list" sheetId="2" r:id="rId2"/>
    <sheet name="Beverage sheet" sheetId="3" r:id="rId3"/>
    <sheet name="Bin list" sheetId="4" r:id="rId4"/>
    <sheet name="Burger Sheet" sheetId="5" r:id="rId5"/>
  </sheets>
  <definedNames>
    <definedName name="_xlnm.Print_Area" localSheetId="0">'Equipment list'!$A$1:$N$120</definedName>
    <definedName name="_xlnm.Print_Titles" localSheetId="0">'Equipment list'!$1:$5</definedName>
  </definedNames>
  <calcPr fullCalcOnLoad="1"/>
  <pivotCaches>
    <pivotCache cacheId="1" r:id="rId6"/>
    <pivotCache cacheId="3" r:id="rId7"/>
  </pivotCaches>
</workbook>
</file>

<file path=xl/comments2.xml><?xml version="1.0" encoding="utf-8"?>
<comments xmlns="http://schemas.openxmlformats.org/spreadsheetml/2006/main">
  <authors>
    <author>Robert G. Milnes III</author>
  </authors>
  <commentList>
    <comment ref="K46" authorId="0">
      <text>
        <r>
          <rPr>
            <b/>
            <sz val="11"/>
            <rFont val="Tahoma"/>
            <family val="0"/>
          </rPr>
          <t>Rob:</t>
        </r>
        <r>
          <rPr>
            <sz val="11"/>
            <rFont val="Tahoma"/>
            <family val="0"/>
          </rPr>
          <t xml:space="preserve">
Print this out and Check this column when you've packed your items.</t>
        </r>
      </text>
    </comment>
  </commentList>
</comments>
</file>

<file path=xl/sharedStrings.xml><?xml version="1.0" encoding="utf-8"?>
<sst xmlns="http://schemas.openxmlformats.org/spreadsheetml/2006/main" count="468" uniqueCount="243">
  <si>
    <t>chair</t>
  </si>
  <si>
    <t>boots</t>
  </si>
  <si>
    <t>ping pong balls</t>
  </si>
  <si>
    <t>hot dogs</t>
  </si>
  <si>
    <t>personal items</t>
  </si>
  <si>
    <t>Truck items</t>
  </si>
  <si>
    <t>paper towels</t>
  </si>
  <si>
    <t>power invertor</t>
  </si>
  <si>
    <t>bowls</t>
  </si>
  <si>
    <t>spoons</t>
  </si>
  <si>
    <t>forks</t>
  </si>
  <si>
    <t>per person</t>
  </si>
  <si>
    <t>total</t>
  </si>
  <si>
    <t>deck of cards</t>
  </si>
  <si>
    <t>group items</t>
  </si>
  <si>
    <t>spatula</t>
  </si>
  <si>
    <t>tongs</t>
  </si>
  <si>
    <t>grill brush</t>
  </si>
  <si>
    <t>Rob</t>
  </si>
  <si>
    <t>Mt. Dew</t>
  </si>
  <si>
    <t>bring</t>
  </si>
  <si>
    <t xml:space="preserve">your </t>
  </si>
  <si>
    <t>own</t>
  </si>
  <si>
    <t>Coke</t>
  </si>
  <si>
    <t>Grill items</t>
  </si>
  <si>
    <t>Cooking items</t>
  </si>
  <si>
    <t>trash bags</t>
  </si>
  <si>
    <t>Hard Liquor</t>
  </si>
  <si>
    <t>lots</t>
  </si>
  <si>
    <t>many</t>
  </si>
  <si>
    <t>5 gal</t>
  </si>
  <si>
    <t>oil thermometer</t>
  </si>
  <si>
    <t>basket</t>
  </si>
  <si>
    <t>knives</t>
  </si>
  <si>
    <t>griddle</t>
  </si>
  <si>
    <t>Dixie cups</t>
  </si>
  <si>
    <t>carving knife</t>
  </si>
  <si>
    <t>hot gloves</t>
  </si>
  <si>
    <t>grill lighter</t>
  </si>
  <si>
    <t>coffee pot</t>
  </si>
  <si>
    <t>man killer (spatula)</t>
  </si>
  <si>
    <t>regular mustard</t>
  </si>
  <si>
    <t>spicy mustard</t>
  </si>
  <si>
    <t>Lysol cleaning spray</t>
  </si>
  <si>
    <t>drinking/beer pong cups</t>
  </si>
  <si>
    <t>please</t>
  </si>
  <si>
    <t>updated:</t>
  </si>
  <si>
    <t xml:space="preserve">printed: </t>
  </si>
  <si>
    <t>Snacks</t>
  </si>
  <si>
    <t>mini marshmellows (bag)</t>
  </si>
  <si>
    <t>sausage (links)</t>
  </si>
  <si>
    <t>beer pong table</t>
  </si>
  <si>
    <t>Twinkies (box)</t>
  </si>
  <si>
    <t>Heinz ketchup (big one)</t>
  </si>
  <si>
    <t>tip jar</t>
  </si>
  <si>
    <t>eggs</t>
  </si>
  <si>
    <t>Oreos (bag)</t>
  </si>
  <si>
    <t>5 gal water jug</t>
  </si>
  <si>
    <t xml:space="preserve">    cream, sugar</t>
  </si>
  <si>
    <t>assorted</t>
  </si>
  <si>
    <t>consisting of:</t>
  </si>
  <si>
    <t>lbs beef</t>
  </si>
  <si>
    <t>bacon (packages)</t>
  </si>
  <si>
    <t>cups shredded cheddar</t>
  </si>
  <si>
    <t>Tailgate stuff</t>
  </si>
  <si>
    <t>cork screw</t>
  </si>
  <si>
    <t>sunscreen</t>
  </si>
  <si>
    <t>big fork</t>
  </si>
  <si>
    <t>Mad</t>
  </si>
  <si>
    <t>Chris F</t>
  </si>
  <si>
    <t xml:space="preserve">  dusk/dawn timer</t>
  </si>
  <si>
    <t>Dog and dog stuff</t>
  </si>
  <si>
    <t>sytrofoam cups</t>
  </si>
  <si>
    <t>Mad &amp; Suz</t>
  </si>
  <si>
    <t>NA</t>
  </si>
  <si>
    <t xml:space="preserve">Deep Fryer </t>
  </si>
  <si>
    <t>Rob (2)</t>
  </si>
  <si>
    <t>no</t>
  </si>
  <si>
    <t>X</t>
  </si>
  <si>
    <t>bacon (pkgs)</t>
  </si>
  <si>
    <t>Matt M</t>
  </si>
  <si>
    <t>lighter</t>
  </si>
  <si>
    <t>Bon Flame fireplace</t>
  </si>
  <si>
    <t xml:space="preserve">   Propane Tank</t>
  </si>
  <si>
    <t>How to use this list</t>
  </si>
  <si>
    <t>rain gear</t>
  </si>
  <si>
    <t>PSU flair</t>
  </si>
  <si>
    <t>pancake mix (bottle)</t>
  </si>
  <si>
    <t>toilet paper</t>
  </si>
  <si>
    <t>stereo</t>
  </si>
  <si>
    <t>guestbook</t>
  </si>
  <si>
    <t>tailgating cards</t>
  </si>
  <si>
    <t>truck mounted beer opener</t>
  </si>
  <si>
    <t xml:space="preserve">propane camp stove </t>
  </si>
  <si>
    <t>10 sq ft canopy</t>
  </si>
  <si>
    <t>cooking spray</t>
  </si>
  <si>
    <t>deep fryer</t>
  </si>
  <si>
    <t>oil</t>
  </si>
  <si>
    <t>fire extinguisher</t>
  </si>
  <si>
    <t>bottled water</t>
  </si>
  <si>
    <t>flag pole/weather vane/flag</t>
  </si>
  <si>
    <t>flag pole/flag</t>
  </si>
  <si>
    <t>buns</t>
  </si>
  <si>
    <t>pepperoni bread</t>
  </si>
  <si>
    <t xml:space="preserve">   big wrench</t>
  </si>
  <si>
    <t xml:space="preserve">   propane tank</t>
  </si>
  <si>
    <t>Full-size BBQ grill</t>
  </si>
  <si>
    <t>beverages (cases, 24 - 30)</t>
  </si>
  <si>
    <t>Light, power and heat</t>
  </si>
  <si>
    <t xml:space="preserve">  extention cords</t>
  </si>
  <si>
    <t>meal</t>
  </si>
  <si>
    <t>burgers</t>
  </si>
  <si>
    <t>Johnny</t>
  </si>
  <si>
    <t>PD?</t>
  </si>
  <si>
    <t>NB?</t>
  </si>
  <si>
    <t xml:space="preserve"> tailgate headcount</t>
  </si>
  <si>
    <t>beverage counts</t>
  </si>
  <si>
    <t>Other</t>
  </si>
  <si>
    <t>Cases to be picked up</t>
  </si>
  <si>
    <t>Miller Lite</t>
  </si>
  <si>
    <t>Propane lantern, tree, mantels</t>
  </si>
  <si>
    <t>!</t>
  </si>
  <si>
    <t>Freedom Fries (10 lbs potatoes)</t>
  </si>
  <si>
    <t>ladle</t>
  </si>
  <si>
    <t xml:space="preserve">   Propane tank</t>
  </si>
  <si>
    <t xml:space="preserve">    propane tank</t>
  </si>
  <si>
    <t>water spray bottle</t>
  </si>
  <si>
    <t>plates (plastic)</t>
  </si>
  <si>
    <t>salt and pepper (big and little)</t>
  </si>
  <si>
    <t>Rob (all)</t>
  </si>
  <si>
    <t>Aluminum foil (heavy duty)</t>
  </si>
  <si>
    <t>hand wipes (box)</t>
  </si>
  <si>
    <t>dish soap (bottle)</t>
  </si>
  <si>
    <t xml:space="preserve">   extension hose</t>
  </si>
  <si>
    <t>tea (bags)</t>
  </si>
  <si>
    <t xml:space="preserve">Beverage sheet </t>
  </si>
  <si>
    <t>Assorted baked goods</t>
  </si>
  <si>
    <t>x</t>
  </si>
  <si>
    <t>Entire table of snacks and other</t>
  </si>
  <si>
    <t>Yuengling Lager</t>
  </si>
  <si>
    <t>NB</t>
  </si>
  <si>
    <t>still req'd</t>
  </si>
  <si>
    <t>Yuengling Black and Tan</t>
  </si>
  <si>
    <t>Burger Worksheet</t>
  </si>
  <si>
    <t>This sheet contains instructions on how to make the bacon-cheddar burgers</t>
  </si>
  <si>
    <t xml:space="preserve">Breakfast  </t>
  </si>
  <si>
    <t xml:space="preserve">  Propane slow cooker</t>
  </si>
  <si>
    <t xml:space="preserve">     5 gal drink cooler</t>
  </si>
  <si>
    <t xml:space="preserve">   cheddar cheese slices</t>
  </si>
  <si>
    <t>PSU table</t>
  </si>
  <si>
    <t>Lunch (pre-game)</t>
  </si>
  <si>
    <t>baked goods</t>
  </si>
  <si>
    <t>Chris</t>
  </si>
  <si>
    <t>white christmas lights</t>
  </si>
  <si>
    <t>Diet Pop</t>
  </si>
  <si>
    <t>pots and pans</t>
  </si>
  <si>
    <t>Instructions</t>
  </si>
  <si>
    <t xml:space="preserve">   hamburger buns (potato rolls)</t>
  </si>
  <si>
    <t>Carter</t>
  </si>
  <si>
    <t>Bethers (via Rob)</t>
  </si>
  <si>
    <t>Rob (3)</t>
  </si>
  <si>
    <t>Rob (12)</t>
  </si>
  <si>
    <t>Rob (4)</t>
  </si>
  <si>
    <t>Yuengling Light Lager</t>
  </si>
  <si>
    <t>This sheet to be used for the beer run.  Do not type on this sheet.</t>
  </si>
  <si>
    <t>who</t>
  </si>
  <si>
    <t>Rob (lots)</t>
  </si>
  <si>
    <t>Rob (50)</t>
  </si>
  <si>
    <t>corndogs</t>
  </si>
  <si>
    <t>jalapeño poppers (big box)</t>
  </si>
  <si>
    <t>chili (medium)</t>
  </si>
  <si>
    <t>round table</t>
  </si>
  <si>
    <t>cast-iron skillet</t>
  </si>
  <si>
    <t>maple syrup (12 oz bottle real or fake)</t>
  </si>
  <si>
    <t>hot cocoa (packets)</t>
  </si>
  <si>
    <t>cheese (slices)</t>
  </si>
  <si>
    <t>instant coffee (singles)</t>
  </si>
  <si>
    <t>Saltine crackers (box)</t>
  </si>
  <si>
    <t>13 lb Turkey (fully defrosted)</t>
  </si>
  <si>
    <t xml:space="preserve">   foil pans (bigger=better)</t>
  </si>
  <si>
    <t>Rob (60)</t>
  </si>
  <si>
    <t>Heinz ketchup (big one or 2 small)</t>
  </si>
  <si>
    <t>Jar of toothpicks</t>
  </si>
  <si>
    <t>Rob (18)</t>
  </si>
  <si>
    <t>spare coozies</t>
  </si>
  <si>
    <t>tent pegs</t>
  </si>
  <si>
    <t>Coffee lids</t>
  </si>
  <si>
    <t>Rob (80)</t>
  </si>
  <si>
    <t>Rob (80+)</t>
  </si>
  <si>
    <t>spare grill lighters</t>
  </si>
  <si>
    <t>Rob (6)</t>
  </si>
  <si>
    <t>Blue and white jello shots</t>
  </si>
  <si>
    <t>freedom toast sticks (box) size?</t>
  </si>
  <si>
    <t>bin</t>
  </si>
  <si>
    <t xml:space="preserve">Count of Breakfast  </t>
  </si>
  <si>
    <t>Grand Total</t>
  </si>
  <si>
    <t>eggs (dozen)</t>
  </si>
  <si>
    <t>1 Total</t>
  </si>
  <si>
    <t>2 Total</t>
  </si>
  <si>
    <t xml:space="preserve">   Freedom fry maker</t>
  </si>
  <si>
    <t>1 Count</t>
  </si>
  <si>
    <t>2 Count</t>
  </si>
  <si>
    <t>Count of Hard Liquor</t>
  </si>
  <si>
    <t>Total</t>
  </si>
  <si>
    <t>Propane Tee</t>
  </si>
  <si>
    <t>room for suggestions</t>
  </si>
  <si>
    <t xml:space="preserve">   Propane Tee</t>
  </si>
  <si>
    <t>Cake</t>
  </si>
  <si>
    <t>Chips</t>
  </si>
  <si>
    <r>
      <t xml:space="preserve">Please email </t>
    </r>
    <r>
      <rPr>
        <b/>
        <sz val="10"/>
        <color indexed="8"/>
        <rFont val="Arial"/>
        <family val="2"/>
      </rPr>
      <t>Rob at PSUALUM dot COM</t>
    </r>
    <r>
      <rPr>
        <sz val="10"/>
        <color indexed="8"/>
        <rFont val="Arial"/>
        <family val="2"/>
      </rPr>
      <t xml:space="preserve"> with the items you'd like to bring.</t>
    </r>
  </si>
  <si>
    <t xml:space="preserve">Rob   </t>
  </si>
  <si>
    <t>Matt M (via Rob)</t>
  </si>
  <si>
    <t xml:space="preserve">Rob </t>
  </si>
  <si>
    <t>special ingredients</t>
  </si>
  <si>
    <t>Wisco headcount</t>
  </si>
  <si>
    <t xml:space="preserve">specialty drink (gal) </t>
  </si>
  <si>
    <t>Dinner (post-game)</t>
  </si>
  <si>
    <t xml:space="preserve">   Cocktail sauce</t>
  </si>
  <si>
    <t xml:space="preserve">   marinana sauce</t>
  </si>
  <si>
    <t>Beef Taquitos (lb box)</t>
  </si>
  <si>
    <t>Bailey's</t>
  </si>
  <si>
    <t>Captian Morgan</t>
  </si>
  <si>
    <t>Dennis</t>
  </si>
  <si>
    <t xml:space="preserve">football ticket </t>
  </si>
  <si>
    <t>Popcorn shrimp (3 lb box)</t>
  </si>
  <si>
    <t>Breaded Ravoli (lb)</t>
  </si>
  <si>
    <t>Zucchini sticks (lb)</t>
  </si>
  <si>
    <t>Kevin</t>
  </si>
  <si>
    <t xml:space="preserve"> chicken quesidillawraps</t>
  </si>
  <si>
    <t>Tiffany</t>
  </si>
  <si>
    <t>Beef Stroganoff</t>
  </si>
  <si>
    <t>Kirsten</t>
  </si>
  <si>
    <t>Chips &amp; Salsa</t>
  </si>
  <si>
    <t>Bethers</t>
  </si>
  <si>
    <t>Jessi (via Rob)</t>
  </si>
  <si>
    <t>BLB</t>
  </si>
  <si>
    <t>grilled foods</t>
  </si>
  <si>
    <t>Shelley</t>
  </si>
  <si>
    <t>Fiesta Burgers</t>
  </si>
  <si>
    <t>Denise</t>
  </si>
  <si>
    <t>Jessi</t>
  </si>
  <si>
    <t>eXtreme polish horseshoes</t>
  </si>
  <si>
    <t>Final list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</si>
</sst>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29">
    <font>
      <sz val="10"/>
      <name val="Arial"/>
      <family val="0"/>
    </font>
    <font>
      <b/>
      <sz val="10"/>
      <name val="Arial"/>
      <family val="2"/>
    </font>
    <font>
      <strike/>
      <sz val="10"/>
      <name val="Arial"/>
      <family val="2"/>
    </font>
    <font>
      <i/>
      <sz val="10"/>
      <name val="Arial"/>
      <family val="2"/>
    </font>
    <font>
      <b/>
      <sz val="10"/>
      <color indexed="8"/>
      <name val="Arial"/>
      <family val="2"/>
    </font>
    <font>
      <sz val="10"/>
      <color indexed="10"/>
      <name val="Arial"/>
      <family val="0"/>
    </font>
    <font>
      <sz val="10"/>
      <color indexed="8"/>
      <name val="Arial"/>
      <family val="0"/>
    </font>
    <font>
      <b/>
      <sz val="16"/>
      <color indexed="8"/>
      <name val="Arial"/>
      <family val="2"/>
    </font>
    <font>
      <sz val="10"/>
      <color indexed="9"/>
      <name val="Arial"/>
      <family val="0"/>
    </font>
    <font>
      <u val="single"/>
      <sz val="10"/>
      <color indexed="12"/>
      <name val="Arial"/>
      <family val="0"/>
    </font>
    <font>
      <u val="single"/>
      <sz val="10"/>
      <color indexed="36"/>
      <name val="Arial"/>
      <family val="0"/>
    </font>
    <font>
      <sz val="10"/>
      <color indexed="55"/>
      <name val="Arial"/>
      <family val="0"/>
    </font>
    <font>
      <b/>
      <sz val="10"/>
      <color indexed="55"/>
      <name val="Arial"/>
      <family val="0"/>
    </font>
    <font>
      <b/>
      <sz val="16"/>
      <color indexed="55"/>
      <name val="Arial"/>
      <family val="0"/>
    </font>
    <font>
      <i/>
      <sz val="10"/>
      <color indexed="55"/>
      <name val="Arial"/>
      <family val="0"/>
    </font>
    <font>
      <sz val="10"/>
      <color indexed="44"/>
      <name val="Arial"/>
      <family val="0"/>
    </font>
    <font>
      <sz val="10"/>
      <color indexed="45"/>
      <name val="Arial"/>
      <family val="0"/>
    </font>
    <font>
      <sz val="10"/>
      <color indexed="12"/>
      <name val="Arial"/>
      <family val="2"/>
    </font>
    <font>
      <b/>
      <sz val="14"/>
      <name val="Arial"/>
      <family val="2"/>
    </font>
    <font>
      <sz val="14"/>
      <name val="Arial"/>
      <family val="0"/>
    </font>
    <font>
      <sz val="16"/>
      <name val="Arial"/>
      <family val="0"/>
    </font>
    <font>
      <strike/>
      <sz val="10"/>
      <color indexed="8"/>
      <name val="Arial"/>
      <family val="2"/>
    </font>
    <font>
      <b/>
      <i/>
      <sz val="10"/>
      <name val="Arial"/>
      <family val="2"/>
    </font>
    <font>
      <b/>
      <sz val="11"/>
      <name val="Tahoma"/>
      <family val="0"/>
    </font>
    <font>
      <sz val="11"/>
      <name val="Tahoma"/>
      <family val="0"/>
    </font>
    <font>
      <sz val="10"/>
      <color indexed="48"/>
      <name val="Arial"/>
      <family val="2"/>
    </font>
    <font>
      <u val="single"/>
      <sz val="10"/>
      <color indexed="8"/>
      <name val="Arial"/>
      <family val="2"/>
    </font>
    <font>
      <sz val="8"/>
      <name val="Tahoma"/>
      <family val="2"/>
    </font>
    <font>
      <b/>
      <sz val="8"/>
      <name val="Arial"/>
      <family val="2"/>
    </font>
  </fonts>
  <fills count="6">
    <fill>
      <patternFill/>
    </fill>
    <fill>
      <patternFill patternType="gray125"/>
    </fill>
    <fill>
      <patternFill patternType="solid">
        <fgColor indexed="40"/>
        <bgColor indexed="64"/>
      </patternFill>
    </fill>
    <fill>
      <patternFill patternType="solid">
        <fgColor indexed="22"/>
        <bgColor indexed="64"/>
      </patternFill>
    </fill>
    <fill>
      <patternFill patternType="solid">
        <fgColor indexed="48"/>
        <bgColor indexed="64"/>
      </patternFill>
    </fill>
    <fill>
      <patternFill patternType="solid">
        <fgColor indexed="10"/>
        <bgColor indexed="64"/>
      </patternFill>
    </fill>
  </fills>
  <borders count="29">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0" fillId="0" borderId="1" xfId="0" applyBorder="1" applyAlignment="1">
      <alignment/>
    </xf>
    <xf numFmtId="0" fontId="0" fillId="0" borderId="0" xfId="0" applyAlignment="1">
      <alignment horizontal="center"/>
    </xf>
    <xf numFmtId="0" fontId="2" fillId="0" borderId="0" xfId="0" applyFont="1" applyAlignment="1">
      <alignment/>
    </xf>
    <xf numFmtId="0" fontId="3" fillId="0" borderId="1" xfId="0" applyFont="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0" xfId="0" applyFill="1" applyAlignment="1">
      <alignment horizontal="center"/>
    </xf>
    <xf numFmtId="0" fontId="0" fillId="0" borderId="1" xfId="0" applyFont="1" applyBorder="1" applyAlignment="1">
      <alignment horizontal="center"/>
    </xf>
    <xf numFmtId="0" fontId="1" fillId="0" borderId="0" xfId="0" applyFont="1" applyAlignment="1">
      <alignment horizontal="right"/>
    </xf>
    <xf numFmtId="0" fontId="6" fillId="0" borderId="1" xfId="0" applyFont="1" applyBorder="1" applyAlignment="1">
      <alignment horizontal="left"/>
    </xf>
    <xf numFmtId="0" fontId="0" fillId="0" borderId="0" xfId="0" applyFont="1" applyFill="1" applyAlignment="1">
      <alignment horizontal="left"/>
    </xf>
    <xf numFmtId="0" fontId="3" fillId="0" borderId="0" xfId="0" applyFont="1" applyAlignment="1">
      <alignment horizontal="center"/>
    </xf>
    <xf numFmtId="0" fontId="0" fillId="0" borderId="2" xfId="0" applyFont="1" applyBorder="1" applyAlignment="1">
      <alignment horizontal="left"/>
    </xf>
    <xf numFmtId="0" fontId="0" fillId="0" borderId="0" xfId="0" applyFont="1" applyFill="1" applyBorder="1" applyAlignment="1">
      <alignment horizontal="left"/>
    </xf>
    <xf numFmtId="0" fontId="6" fillId="0" borderId="1" xfId="0" applyFont="1" applyBorder="1" applyAlignment="1">
      <alignment/>
    </xf>
    <xf numFmtId="0" fontId="8" fillId="0" borderId="0" xfId="0" applyFont="1" applyAlignment="1">
      <alignment/>
    </xf>
    <xf numFmtId="0" fontId="5" fillId="0" borderId="0" xfId="0" applyFont="1" applyAlignment="1">
      <alignment/>
    </xf>
    <xf numFmtId="0" fontId="1" fillId="0" borderId="0" xfId="0" applyFont="1" applyAlignment="1">
      <alignment/>
    </xf>
    <xf numFmtId="0" fontId="1" fillId="2" borderId="0" xfId="0" applyFont="1" applyFill="1" applyAlignment="1">
      <alignment/>
    </xf>
    <xf numFmtId="0" fontId="11" fillId="0" borderId="0" xfId="0" applyFont="1" applyAlignment="1">
      <alignment horizontal="center"/>
    </xf>
    <xf numFmtId="0" fontId="12" fillId="3" borderId="0" xfId="0" applyFont="1" applyFill="1" applyAlignment="1">
      <alignment horizontal="center"/>
    </xf>
    <xf numFmtId="0" fontId="11" fillId="0" borderId="0" xfId="0" applyFont="1" applyAlignment="1">
      <alignment/>
    </xf>
    <xf numFmtId="0" fontId="11" fillId="0" borderId="1" xfId="0" applyFont="1" applyBorder="1" applyAlignment="1">
      <alignment/>
    </xf>
    <xf numFmtId="0" fontId="11" fillId="0" borderId="1" xfId="0" applyFont="1" applyBorder="1" applyAlignment="1">
      <alignment horizontal="center"/>
    </xf>
    <xf numFmtId="0" fontId="11" fillId="0" borderId="3" xfId="0" applyFont="1" applyBorder="1" applyAlignment="1">
      <alignment/>
    </xf>
    <xf numFmtId="0" fontId="13" fillId="3" borderId="0" xfId="0" applyFont="1" applyFill="1" applyAlignment="1">
      <alignment/>
    </xf>
    <xf numFmtId="0" fontId="12" fillId="0" borderId="0" xfId="0" applyFont="1" applyAlignment="1">
      <alignment horizontal="right"/>
    </xf>
    <xf numFmtId="14" fontId="11" fillId="0" borderId="0" xfId="0" applyNumberFormat="1" applyFont="1" applyAlignment="1">
      <alignment/>
    </xf>
    <xf numFmtId="14" fontId="11" fillId="0" borderId="0" xfId="0" applyNumberFormat="1" applyFont="1" applyAlignment="1">
      <alignment horizontal="left"/>
    </xf>
    <xf numFmtId="0" fontId="12" fillId="0" borderId="0" xfId="0" applyFont="1" applyFill="1" applyBorder="1" applyAlignment="1">
      <alignment horizontal="center"/>
    </xf>
    <xf numFmtId="0" fontId="11" fillId="0" borderId="0" xfId="0" applyFont="1" applyFill="1" applyBorder="1" applyAlignment="1">
      <alignment/>
    </xf>
    <xf numFmtId="0" fontId="14" fillId="0" borderId="1" xfId="0" applyFont="1" applyBorder="1" applyAlignment="1">
      <alignment horizontal="center"/>
    </xf>
    <xf numFmtId="0" fontId="11" fillId="0" borderId="1" xfId="0" applyFont="1" applyFill="1" applyBorder="1" applyAlignment="1">
      <alignment/>
    </xf>
    <xf numFmtId="0" fontId="11" fillId="0" borderId="1" xfId="0" applyFont="1" applyFill="1" applyBorder="1" applyAlignment="1">
      <alignment horizontal="center"/>
    </xf>
    <xf numFmtId="0" fontId="15" fillId="0" borderId="1" xfId="0" applyFont="1" applyBorder="1" applyAlignment="1">
      <alignment/>
    </xf>
    <xf numFmtId="0" fontId="16" fillId="0" borderId="0" xfId="0" applyFont="1" applyAlignment="1">
      <alignment/>
    </xf>
    <xf numFmtId="0" fontId="16" fillId="0" borderId="0" xfId="0" applyFont="1" applyFill="1" applyAlignment="1">
      <alignment horizontal="left"/>
    </xf>
    <xf numFmtId="0" fontId="0" fillId="0" borderId="0" xfId="0" applyFont="1" applyFill="1" applyBorder="1" applyAlignment="1">
      <alignment horizontal="center"/>
    </xf>
    <xf numFmtId="44" fontId="0" fillId="0" borderId="0" xfId="17" applyAlignment="1">
      <alignment/>
    </xf>
    <xf numFmtId="0" fontId="0" fillId="0" borderId="4" xfId="0" applyFont="1" applyFill="1" applyBorder="1" applyAlignment="1">
      <alignment horizontal="center"/>
    </xf>
    <xf numFmtId="0" fontId="0" fillId="0" borderId="0" xfId="0" applyFont="1" applyAlignment="1">
      <alignment/>
    </xf>
    <xf numFmtId="0" fontId="5" fillId="0" borderId="0" xfId="0" applyFont="1" applyFill="1" applyBorder="1" applyAlignment="1">
      <alignment/>
    </xf>
    <xf numFmtId="0" fontId="8" fillId="0" borderId="0" xfId="0" applyFont="1" applyAlignment="1">
      <alignment horizontal="center"/>
    </xf>
    <xf numFmtId="0" fontId="8" fillId="0" borderId="5" xfId="0" applyFont="1" applyBorder="1" applyAlignment="1">
      <alignment/>
    </xf>
    <xf numFmtId="2" fontId="8" fillId="0" borderId="5" xfId="0" applyNumberFormat="1" applyFont="1" applyBorder="1" applyAlignment="1">
      <alignment/>
    </xf>
    <xf numFmtId="172" fontId="8" fillId="0" borderId="5" xfId="0" applyNumberFormat="1" applyFont="1" applyBorder="1" applyAlignment="1">
      <alignment/>
    </xf>
    <xf numFmtId="0" fontId="0" fillId="0" borderId="6" xfId="0" applyBorder="1" applyAlignment="1">
      <alignment/>
    </xf>
    <xf numFmtId="0" fontId="5" fillId="0" borderId="1" xfId="0" applyFont="1" applyBorder="1" applyAlignment="1">
      <alignment/>
    </xf>
    <xf numFmtId="0" fontId="0" fillId="4" borderId="0" xfId="0" applyFill="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Fill="1" applyBorder="1" applyAlignment="1">
      <alignment horizontal="left"/>
    </xf>
    <xf numFmtId="0" fontId="6" fillId="0" borderId="0" xfId="0" applyFont="1" applyAlignment="1">
      <alignment/>
    </xf>
    <xf numFmtId="0" fontId="6" fillId="0" borderId="0" xfId="0" applyFont="1" applyFill="1" applyAlignment="1">
      <alignment horizontal="left"/>
    </xf>
    <xf numFmtId="0" fontId="6" fillId="0" borderId="1" xfId="0" applyFont="1" applyBorder="1" applyAlignment="1">
      <alignment/>
    </xf>
    <xf numFmtId="0" fontId="0" fillId="0" borderId="3" xfId="0" applyFont="1" applyBorder="1" applyAlignment="1">
      <alignment/>
    </xf>
    <xf numFmtId="0" fontId="0" fillId="0" borderId="0" xfId="0" applyFont="1" applyFill="1" applyAlignment="1">
      <alignment/>
    </xf>
    <xf numFmtId="0" fontId="0" fillId="0" borderId="0" xfId="0" applyFont="1" applyFill="1" applyAlignment="1">
      <alignment horizontal="center"/>
    </xf>
    <xf numFmtId="14" fontId="0" fillId="0" borderId="0" xfId="0" applyNumberFormat="1" applyFont="1" applyAlignment="1">
      <alignment horizontal="left"/>
    </xf>
    <xf numFmtId="0" fontId="0" fillId="0" borderId="0" xfId="0" applyFont="1" applyAlignment="1">
      <alignment horizontal="center"/>
    </xf>
    <xf numFmtId="0" fontId="0" fillId="0" borderId="0" xfId="0" applyFont="1" applyBorder="1" applyAlignment="1">
      <alignment/>
    </xf>
    <xf numFmtId="0" fontId="9" fillId="0" borderId="0" xfId="20" applyFont="1" applyAlignment="1">
      <alignment/>
    </xf>
    <xf numFmtId="0" fontId="6" fillId="0" borderId="1" xfId="0" applyFont="1" applyBorder="1" applyAlignment="1">
      <alignment horizontal="center"/>
    </xf>
    <xf numFmtId="0" fontId="0" fillId="0" borderId="0" xfId="0" applyFont="1" applyFill="1" applyBorder="1" applyAlignment="1">
      <alignment/>
    </xf>
    <xf numFmtId="0" fontId="0" fillId="0" borderId="1" xfId="0" applyFont="1" applyBorder="1" applyAlignment="1">
      <alignment/>
    </xf>
    <xf numFmtId="0" fontId="0" fillId="0" borderId="6" xfId="0" applyFont="1" applyBorder="1" applyAlignment="1">
      <alignment/>
    </xf>
    <xf numFmtId="0" fontId="0" fillId="0" borderId="1" xfId="0" applyFont="1" applyFill="1" applyBorder="1" applyAlignment="1">
      <alignment/>
    </xf>
    <xf numFmtId="0" fontId="5" fillId="0" borderId="0" xfId="0" applyFont="1" applyAlignment="1">
      <alignment/>
    </xf>
    <xf numFmtId="0" fontId="0" fillId="0" borderId="13" xfId="0" applyFont="1" applyFill="1" applyBorder="1" applyAlignment="1">
      <alignment horizontal="center"/>
    </xf>
    <xf numFmtId="0" fontId="0" fillId="0" borderId="14" xfId="0" applyFont="1" applyBorder="1" applyAlignment="1">
      <alignment/>
    </xf>
    <xf numFmtId="0" fontId="0" fillId="0" borderId="15" xfId="0" applyFont="1" applyFill="1" applyBorder="1" applyAlignment="1">
      <alignment horizontal="center"/>
    </xf>
    <xf numFmtId="0" fontId="17" fillId="0" borderId="1" xfId="0" applyFont="1" applyBorder="1" applyAlignment="1">
      <alignment/>
    </xf>
    <xf numFmtId="0" fontId="0" fillId="0" borderId="1" xfId="0" applyFont="1" applyFill="1" applyBorder="1" applyAlignment="1">
      <alignment horizontal="center"/>
    </xf>
    <xf numFmtId="0" fontId="0" fillId="0" borderId="16" xfId="0" applyFont="1" applyFill="1" applyBorder="1" applyAlignment="1">
      <alignment horizontal="center"/>
    </xf>
    <xf numFmtId="0" fontId="0" fillId="0" borderId="2" xfId="0" applyFont="1" applyBorder="1" applyAlignment="1">
      <alignment/>
    </xf>
    <xf numFmtId="0" fontId="17" fillId="0" borderId="2" xfId="0" applyFont="1" applyBorder="1" applyAlignment="1">
      <alignment/>
    </xf>
    <xf numFmtId="0" fontId="0" fillId="0" borderId="2" xfId="0" applyFont="1" applyBorder="1" applyAlignment="1">
      <alignment horizontal="center"/>
    </xf>
    <xf numFmtId="0" fontId="8" fillId="0" borderId="0" xfId="0" applyFont="1" applyAlignment="1">
      <alignment/>
    </xf>
    <xf numFmtId="0" fontId="17" fillId="0" borderId="0" xfId="0" applyFont="1" applyBorder="1" applyAlignment="1">
      <alignment/>
    </xf>
    <xf numFmtId="0" fontId="0" fillId="0" borderId="0" xfId="0" applyFont="1" applyBorder="1" applyAlignment="1">
      <alignment horizontal="center"/>
    </xf>
    <xf numFmtId="0" fontId="6" fillId="0" borderId="14" xfId="0" applyFont="1" applyBorder="1" applyAlignment="1">
      <alignment/>
    </xf>
    <xf numFmtId="0" fontId="6" fillId="0" borderId="0" xfId="0" applyFont="1" applyFill="1" applyAlignment="1">
      <alignment/>
    </xf>
    <xf numFmtId="0" fontId="0" fillId="0" borderId="17" xfId="0" applyFont="1" applyBorder="1" applyAlignment="1">
      <alignment/>
    </xf>
    <xf numFmtId="0" fontId="2" fillId="0" borderId="1" xfId="0" applyFont="1" applyBorder="1" applyAlignment="1">
      <alignment horizontal="center"/>
    </xf>
    <xf numFmtId="0" fontId="6" fillId="0" borderId="0" xfId="0" applyFont="1" applyFill="1" applyBorder="1" applyAlignment="1">
      <alignment/>
    </xf>
    <xf numFmtId="0" fontId="17" fillId="0" borderId="1" xfId="0" applyFont="1" applyFill="1" applyBorder="1" applyAlignment="1">
      <alignment/>
    </xf>
    <xf numFmtId="0" fontId="0" fillId="0" borderId="18" xfId="0" applyFont="1" applyBorder="1" applyAlignment="1">
      <alignment horizontal="right"/>
    </xf>
    <xf numFmtId="0" fontId="0" fillId="0" borderId="18" xfId="0" applyFont="1" applyBorder="1" applyAlignment="1">
      <alignment horizontal="center"/>
    </xf>
    <xf numFmtId="0" fontId="0" fillId="0" borderId="18" xfId="0" applyFont="1" applyBorder="1" applyAlignment="1">
      <alignment horizontal="left"/>
    </xf>
    <xf numFmtId="0" fontId="0" fillId="0" borderId="4" xfId="0" applyFont="1" applyFill="1" applyBorder="1" applyAlignment="1">
      <alignment/>
    </xf>
    <xf numFmtId="0" fontId="0" fillId="0" borderId="18" xfId="0" applyFont="1" applyBorder="1" applyAlignment="1">
      <alignment/>
    </xf>
    <xf numFmtId="0" fontId="18" fillId="0" borderId="0" xfId="0" applyFont="1" applyAlignment="1">
      <alignment/>
    </xf>
    <xf numFmtId="0" fontId="19" fillId="0" borderId="3" xfId="0" applyFont="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8" fillId="0" borderId="5" xfId="0" applyFont="1" applyFill="1" applyBorder="1" applyAlignment="1">
      <alignment/>
    </xf>
    <xf numFmtId="2" fontId="8" fillId="0" borderId="5" xfId="0" applyNumberFormat="1" applyFont="1" applyFill="1" applyBorder="1" applyAlignment="1">
      <alignment/>
    </xf>
    <xf numFmtId="2" fontId="8" fillId="0" borderId="0" xfId="0" applyNumberFormat="1" applyFont="1" applyFill="1" applyBorder="1" applyAlignment="1">
      <alignment/>
    </xf>
    <xf numFmtId="0" fontId="8" fillId="0" borderId="5" xfId="0" applyFont="1" applyFill="1" applyBorder="1" applyAlignment="1">
      <alignment horizontal="center"/>
    </xf>
    <xf numFmtId="0" fontId="1" fillId="0" borderId="0" xfId="0" applyFont="1" applyFill="1" applyAlignment="1">
      <alignment horizontal="right"/>
    </xf>
    <xf numFmtId="0" fontId="5" fillId="0" borderId="0" xfId="0" applyFont="1" applyFill="1" applyAlignment="1">
      <alignment/>
    </xf>
    <xf numFmtId="0" fontId="5" fillId="0" borderId="0" xfId="0" applyFont="1" applyFill="1" applyBorder="1" applyAlignment="1">
      <alignment/>
    </xf>
    <xf numFmtId="14" fontId="0" fillId="0" borderId="0" xfId="0" applyNumberFormat="1" applyFont="1" applyFill="1" applyAlignment="1">
      <alignment/>
    </xf>
    <xf numFmtId="0" fontId="0" fillId="0" borderId="18" xfId="0" applyFont="1" applyFill="1" applyBorder="1" applyAlignment="1">
      <alignment/>
    </xf>
    <xf numFmtId="0" fontId="3" fillId="0" borderId="13" xfId="0" applyFont="1" applyFill="1" applyBorder="1" applyAlignment="1">
      <alignment horizontal="center"/>
    </xf>
    <xf numFmtId="0" fontId="2" fillId="0" borderId="0" xfId="0" applyFont="1" applyFill="1" applyAlignment="1">
      <alignment horizontal="center"/>
    </xf>
    <xf numFmtId="0" fontId="2" fillId="0" borderId="1" xfId="0" applyFont="1" applyFill="1" applyBorder="1" applyAlignment="1">
      <alignment horizontal="center"/>
    </xf>
    <xf numFmtId="0" fontId="0" fillId="0" borderId="18" xfId="0" applyFont="1" applyFill="1" applyBorder="1" applyAlignment="1">
      <alignment horizontal="center"/>
    </xf>
    <xf numFmtId="0" fontId="4" fillId="0" borderId="0" xfId="0" applyFont="1" applyFill="1" applyAlignment="1">
      <alignment/>
    </xf>
    <xf numFmtId="14" fontId="0" fillId="0" borderId="0" xfId="0" applyNumberFormat="1" applyFont="1" applyFill="1" applyAlignment="1">
      <alignment horizontal="left"/>
    </xf>
    <xf numFmtId="0" fontId="6" fillId="0" borderId="0" xfId="0" applyFont="1" applyFill="1" applyAlignment="1">
      <alignment horizontal="center"/>
    </xf>
    <xf numFmtId="0" fontId="20" fillId="0" borderId="0" xfId="0" applyFont="1" applyAlignment="1">
      <alignment/>
    </xf>
    <xf numFmtId="0" fontId="20" fillId="0" borderId="19" xfId="0" applyFont="1" applyBorder="1" applyAlignment="1">
      <alignment/>
    </xf>
    <xf numFmtId="0" fontId="20" fillId="0" borderId="20" xfId="0" applyFont="1" applyBorder="1" applyAlignment="1">
      <alignment/>
    </xf>
    <xf numFmtId="0" fontId="20" fillId="0" borderId="21" xfId="0" applyFont="1" applyBorder="1" applyAlignment="1">
      <alignment/>
    </xf>
    <xf numFmtId="0" fontId="20" fillId="0" borderId="19" xfId="0" applyFont="1" applyBorder="1" applyAlignment="1">
      <alignment/>
    </xf>
    <xf numFmtId="0" fontId="20" fillId="0" borderId="21" xfId="0" applyNumberFormat="1" applyFont="1" applyBorder="1" applyAlignment="1">
      <alignment/>
    </xf>
    <xf numFmtId="0" fontId="20" fillId="0" borderId="22" xfId="0" applyFont="1" applyBorder="1" applyAlignment="1">
      <alignment/>
    </xf>
    <xf numFmtId="0" fontId="20" fillId="0" borderId="23" xfId="0" applyFont="1" applyBorder="1" applyAlignment="1">
      <alignment/>
    </xf>
    <xf numFmtId="0" fontId="20" fillId="0" borderId="24" xfId="0" applyNumberFormat="1" applyFont="1" applyBorder="1" applyAlignment="1">
      <alignment/>
    </xf>
    <xf numFmtId="0" fontId="20" fillId="0" borderId="25" xfId="0" applyFont="1" applyBorder="1" applyAlignment="1">
      <alignment/>
    </xf>
    <xf numFmtId="0" fontId="20" fillId="0" borderId="26" xfId="0" applyFont="1" applyBorder="1" applyAlignment="1">
      <alignment/>
    </xf>
    <xf numFmtId="0" fontId="20" fillId="0" borderId="27" xfId="0" applyNumberFormat="1" applyFont="1" applyBorder="1" applyAlignment="1">
      <alignment/>
    </xf>
    <xf numFmtId="0" fontId="6" fillId="0" borderId="0" xfId="0" applyFont="1" applyAlignment="1">
      <alignment horizontal="center"/>
    </xf>
    <xf numFmtId="0" fontId="21" fillId="0" borderId="0" xfId="0" applyFont="1" applyFill="1" applyBorder="1" applyAlignment="1">
      <alignment/>
    </xf>
    <xf numFmtId="0" fontId="6" fillId="0" borderId="5" xfId="0" applyFont="1" applyBorder="1" applyAlignment="1">
      <alignment/>
    </xf>
    <xf numFmtId="0" fontId="6" fillId="0" borderId="0" xfId="0" applyFont="1" applyBorder="1" applyAlignment="1">
      <alignment/>
    </xf>
    <xf numFmtId="0" fontId="0" fillId="0" borderId="28" xfId="0" applyFont="1" applyFill="1" applyBorder="1" applyAlignment="1">
      <alignment horizontal="center"/>
    </xf>
    <xf numFmtId="0" fontId="4" fillId="5" borderId="0" xfId="0" applyFont="1" applyFill="1" applyAlignment="1">
      <alignment horizontal="center"/>
    </xf>
    <xf numFmtId="0" fontId="6" fillId="0" borderId="0" xfId="0" applyFont="1" applyFill="1" applyBorder="1" applyAlignment="1">
      <alignment horizontal="left"/>
    </xf>
    <xf numFmtId="0" fontId="17" fillId="0" borderId="6" xfId="0" applyFont="1" applyBorder="1" applyAlignment="1">
      <alignment/>
    </xf>
    <xf numFmtId="0" fontId="6" fillId="0" borderId="18" xfId="0" applyFont="1" applyBorder="1" applyAlignment="1">
      <alignment horizontal="left"/>
    </xf>
    <xf numFmtId="0" fontId="25" fillId="0" borderId="1" xfId="0" applyFont="1" applyBorder="1" applyAlignment="1">
      <alignment/>
    </xf>
    <xf numFmtId="0" fontId="5" fillId="0" borderId="0" xfId="0" applyFont="1" applyFill="1" applyAlignment="1">
      <alignment horizontal="left"/>
    </xf>
    <xf numFmtId="0" fontId="7" fillId="2" borderId="0" xfId="0" applyFont="1" applyFill="1" applyAlignment="1">
      <alignment/>
    </xf>
    <xf numFmtId="0" fontId="4" fillId="2" borderId="0" xfId="0" applyFont="1" applyFill="1" applyAlignment="1">
      <alignment horizontal="center"/>
    </xf>
    <xf numFmtId="0" fontId="6"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horizontal="center"/>
    </xf>
    <xf numFmtId="0" fontId="1" fillId="2" borderId="0" xfId="0" applyFont="1" applyFill="1" applyBorder="1" applyAlignment="1">
      <alignment horizontal="center"/>
    </xf>
    <xf numFmtId="0" fontId="2" fillId="0" borderId="0" xfId="0" applyFont="1" applyFill="1" applyBorder="1" applyAlignment="1">
      <alignment horizontal="left"/>
    </xf>
    <xf numFmtId="0" fontId="26" fillId="0" borderId="0" xfId="20" applyFont="1" applyAlignment="1">
      <alignment/>
    </xf>
    <xf numFmtId="0" fontId="6" fillId="0" borderId="0" xfId="0" applyFont="1" applyFill="1" applyAlignment="1">
      <alignment horizontal="center"/>
    </xf>
    <xf numFmtId="0" fontId="4" fillId="5" borderId="0" xfId="0" applyFont="1" applyFill="1" applyAlignment="1">
      <alignment horizontal="center"/>
    </xf>
    <xf numFmtId="0" fontId="8" fillId="0" borderId="5" xfId="0" applyFont="1" applyFill="1" applyBorder="1" applyAlignment="1">
      <alignment horizontal="center"/>
    </xf>
    <xf numFmtId="0" fontId="0" fillId="0" borderId="2" xfId="0" applyFont="1" applyBorder="1" applyAlignment="1">
      <alignment horizontal="right"/>
    </xf>
    <xf numFmtId="0" fontId="0" fillId="0" borderId="18" xfId="0" applyFont="1" applyBorder="1" applyAlignment="1">
      <alignment horizontal="right"/>
    </xf>
    <xf numFmtId="0" fontId="0" fillId="0" borderId="2" xfId="0" applyFont="1" applyBorder="1" applyAlignment="1">
      <alignment horizontal="center"/>
    </xf>
    <xf numFmtId="0" fontId="0" fillId="0" borderId="1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sz val="1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13</xdr:row>
      <xdr:rowOff>57150</xdr:rowOff>
    </xdr:from>
    <xdr:to>
      <xdr:col>2</xdr:col>
      <xdr:colOff>1905000</xdr:colOff>
      <xdr:row>26</xdr:row>
      <xdr:rowOff>47625</xdr:rowOff>
    </xdr:to>
    <xdr:sp>
      <xdr:nvSpPr>
        <xdr:cNvPr id="1" name="Oval 1"/>
        <xdr:cNvSpPr>
          <a:spLocks/>
        </xdr:cNvSpPr>
      </xdr:nvSpPr>
      <xdr:spPr>
        <a:xfrm>
          <a:off x="590550" y="2162175"/>
          <a:ext cx="2533650" cy="2095500"/>
        </a:xfrm>
        <a:prstGeom prst="ellipse">
          <a:avLst/>
        </a:prstGeom>
        <a:solidFill>
          <a:srgbClr val="C0C0C0">
            <a:alpha val="99000"/>
          </a:srgbClr>
        </a:solidFill>
        <a:ln w="9525" cmpd="sng">
          <a:solidFill>
            <a:srgbClr val="000000"/>
          </a:solidFill>
          <a:headEnd type="none"/>
          <a:tailEnd type="none"/>
        </a:ln>
      </xdr:spPr>
      <xdr:txBody>
        <a:bodyPr vertOverflow="clip" wrap="square"/>
        <a:p>
          <a:pPr algn="l">
            <a:defRPr/>
          </a:pPr>
          <a:r>
            <a:rPr lang="en-US" cap="none" sz="1000" b="1" i="1" u="none" baseline="0">
              <a:latin typeface="Arial"/>
              <a:ea typeface="Arial"/>
              <a:cs typeface="Arial"/>
            </a:rPr>
            <a:t>The Web</a:t>
          </a:r>
        </a:p>
      </xdr:txBody>
    </xdr:sp>
    <xdr:clientData/>
  </xdr:twoCellAnchor>
  <xdr:twoCellAnchor>
    <xdr:from>
      <xdr:col>0</xdr:col>
      <xdr:colOff>28575</xdr:colOff>
      <xdr:row>1</xdr:row>
      <xdr:rowOff>19050</xdr:rowOff>
    </xdr:from>
    <xdr:to>
      <xdr:col>10</xdr:col>
      <xdr:colOff>266700</xdr:colOff>
      <xdr:row>6</xdr:row>
      <xdr:rowOff>142875</xdr:rowOff>
    </xdr:to>
    <xdr:sp>
      <xdr:nvSpPr>
        <xdr:cNvPr id="2" name="TextBox 2"/>
        <xdr:cNvSpPr txBox="1">
          <a:spLocks noChangeArrowheads="1"/>
        </xdr:cNvSpPr>
      </xdr:nvSpPr>
      <xdr:spPr>
        <a:xfrm>
          <a:off x="28575" y="180975"/>
          <a:ext cx="84010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How the list works: </a:t>
          </a:r>
          <a:r>
            <a:rPr lang="en-US" cap="none" sz="1000" b="0" i="0" u="none" baseline="0">
              <a:latin typeface="Arial"/>
              <a:ea typeface="Arial"/>
              <a:cs typeface="Arial"/>
            </a:rPr>
            <a:t>If you want to bring something, you must email me (Rob@psualum.com) with items you're bringing or your requests.  I will then update the master list on the web.  This ensures that no duplicates are made.  
Editing and saving the list on your own computer will </a:t>
          </a:r>
          <a:r>
            <a:rPr lang="en-US" cap="none" sz="1000" b="0" i="1" u="none" baseline="0">
              <a:latin typeface="Arial"/>
              <a:ea typeface="Arial"/>
              <a:cs typeface="Arial"/>
            </a:rPr>
            <a:t>not</a:t>
          </a:r>
          <a:r>
            <a:rPr lang="en-US" cap="none" sz="1000" b="0" i="0" u="none" baseline="0">
              <a:latin typeface="Arial"/>
              <a:ea typeface="Arial"/>
              <a:cs typeface="Arial"/>
            </a:rPr>
            <a:t> tell me that you are bringing anything, so please email me.  Alumni can contribute if they choose. Students just need to show up.
</a:t>
          </a:r>
        </a:p>
      </xdr:txBody>
    </xdr:sp>
    <xdr:clientData/>
  </xdr:twoCellAnchor>
  <xdr:twoCellAnchor>
    <xdr:from>
      <xdr:col>2</xdr:col>
      <xdr:colOff>1114425</xdr:colOff>
      <xdr:row>18</xdr:row>
      <xdr:rowOff>152400</xdr:rowOff>
    </xdr:from>
    <xdr:to>
      <xdr:col>5</xdr:col>
      <xdr:colOff>19050</xdr:colOff>
      <xdr:row>19</xdr:row>
      <xdr:rowOff>0</xdr:rowOff>
    </xdr:to>
    <xdr:sp>
      <xdr:nvSpPr>
        <xdr:cNvPr id="3" name="Line 3"/>
        <xdr:cNvSpPr>
          <a:spLocks/>
        </xdr:cNvSpPr>
      </xdr:nvSpPr>
      <xdr:spPr>
        <a:xfrm flipV="1">
          <a:off x="2333625" y="3067050"/>
          <a:ext cx="1781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10</xdr:row>
      <xdr:rowOff>57150</xdr:rowOff>
    </xdr:from>
    <xdr:to>
      <xdr:col>5</xdr:col>
      <xdr:colOff>114300</xdr:colOff>
      <xdr:row>10</xdr:row>
      <xdr:rowOff>66675</xdr:rowOff>
    </xdr:to>
    <xdr:sp>
      <xdr:nvSpPr>
        <xdr:cNvPr id="4" name="Line 4"/>
        <xdr:cNvSpPr>
          <a:spLocks/>
        </xdr:cNvSpPr>
      </xdr:nvSpPr>
      <xdr:spPr>
        <a:xfrm flipH="1" flipV="1">
          <a:off x="3771900" y="1676400"/>
          <a:ext cx="438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10</xdr:row>
      <xdr:rowOff>66675</xdr:rowOff>
    </xdr:from>
    <xdr:to>
      <xdr:col>2</xdr:col>
      <xdr:colOff>1676400</xdr:colOff>
      <xdr:row>10</xdr:row>
      <xdr:rowOff>66675</xdr:rowOff>
    </xdr:to>
    <xdr:sp>
      <xdr:nvSpPr>
        <xdr:cNvPr id="5" name="Line 5"/>
        <xdr:cNvSpPr>
          <a:spLocks/>
        </xdr:cNvSpPr>
      </xdr:nvSpPr>
      <xdr:spPr>
        <a:xfrm flipH="1" flipV="1">
          <a:off x="2105025" y="168592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12</xdr:row>
      <xdr:rowOff>28575</xdr:rowOff>
    </xdr:from>
    <xdr:to>
      <xdr:col>2</xdr:col>
      <xdr:colOff>485775</xdr:colOff>
      <xdr:row>16</xdr:row>
      <xdr:rowOff>85725</xdr:rowOff>
    </xdr:to>
    <xdr:sp>
      <xdr:nvSpPr>
        <xdr:cNvPr id="6" name="Line 6"/>
        <xdr:cNvSpPr>
          <a:spLocks/>
        </xdr:cNvSpPr>
      </xdr:nvSpPr>
      <xdr:spPr>
        <a:xfrm>
          <a:off x="1704975" y="1971675"/>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76200</xdr:rowOff>
    </xdr:from>
    <xdr:to>
      <xdr:col>2</xdr:col>
      <xdr:colOff>1076325</xdr:colOff>
      <xdr:row>23</xdr:row>
      <xdr:rowOff>57150</xdr:rowOff>
    </xdr:to>
    <xdr:sp>
      <xdr:nvSpPr>
        <xdr:cNvPr id="7" name="AutoShape 7"/>
        <xdr:cNvSpPr>
          <a:spLocks/>
        </xdr:cNvSpPr>
      </xdr:nvSpPr>
      <xdr:spPr>
        <a:xfrm>
          <a:off x="1285875" y="2667000"/>
          <a:ext cx="1009650" cy="11144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Master Equipment list</a:t>
          </a:r>
        </a:p>
      </xdr:txBody>
    </xdr:sp>
    <xdr:clientData/>
  </xdr:twoCellAnchor>
  <xdr:twoCellAnchor>
    <xdr:from>
      <xdr:col>5</xdr:col>
      <xdr:colOff>76200</xdr:colOff>
      <xdr:row>15</xdr:row>
      <xdr:rowOff>57150</xdr:rowOff>
    </xdr:from>
    <xdr:to>
      <xdr:col>6</xdr:col>
      <xdr:colOff>381000</xdr:colOff>
      <xdr:row>22</xdr:row>
      <xdr:rowOff>38100</xdr:rowOff>
    </xdr:to>
    <xdr:sp>
      <xdr:nvSpPr>
        <xdr:cNvPr id="8" name="AutoShape 8"/>
        <xdr:cNvSpPr>
          <a:spLocks/>
        </xdr:cNvSpPr>
      </xdr:nvSpPr>
      <xdr:spPr>
        <a:xfrm>
          <a:off x="4171950" y="2486025"/>
          <a:ext cx="914400" cy="11144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Your copy of the Equipment list</a:t>
          </a:r>
        </a:p>
      </xdr:txBody>
    </xdr:sp>
    <xdr:clientData/>
  </xdr:twoCellAnchor>
  <xdr:twoCellAnchor>
    <xdr:from>
      <xdr:col>2</xdr:col>
      <xdr:colOff>1704975</xdr:colOff>
      <xdr:row>7</xdr:row>
      <xdr:rowOff>142875</xdr:rowOff>
    </xdr:from>
    <xdr:to>
      <xdr:col>3</xdr:col>
      <xdr:colOff>561975</xdr:colOff>
      <xdr:row>14</xdr:row>
      <xdr:rowOff>123825</xdr:rowOff>
    </xdr:to>
    <xdr:sp>
      <xdr:nvSpPr>
        <xdr:cNvPr id="9" name="AutoShape 9"/>
        <xdr:cNvSpPr>
          <a:spLocks/>
        </xdr:cNvSpPr>
      </xdr:nvSpPr>
      <xdr:spPr>
        <a:xfrm>
          <a:off x="2924175" y="1276350"/>
          <a:ext cx="838200" cy="11144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email with the Items you'd like to bring</a:t>
          </a:r>
        </a:p>
      </xdr:txBody>
    </xdr:sp>
    <xdr:clientData/>
  </xdr:twoCellAnchor>
  <xdr:twoCellAnchor>
    <xdr:from>
      <xdr:col>2</xdr:col>
      <xdr:colOff>95250</xdr:colOff>
      <xdr:row>8</xdr:row>
      <xdr:rowOff>47625</xdr:rowOff>
    </xdr:from>
    <xdr:to>
      <xdr:col>2</xdr:col>
      <xdr:colOff>847725</xdr:colOff>
      <xdr:row>12</xdr:row>
      <xdr:rowOff>28575</xdr:rowOff>
    </xdr:to>
    <xdr:sp>
      <xdr:nvSpPr>
        <xdr:cNvPr id="10" name="AutoShape 10"/>
        <xdr:cNvSpPr>
          <a:spLocks/>
        </xdr:cNvSpPr>
      </xdr:nvSpPr>
      <xdr:spPr>
        <a:xfrm>
          <a:off x="1314450" y="1343025"/>
          <a:ext cx="752475" cy="628650"/>
        </a:xfrm>
        <a:prstGeom prst="plu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Rob</a:t>
          </a:r>
        </a:p>
      </xdr:txBody>
    </xdr:sp>
    <xdr:clientData/>
  </xdr:twoCellAnchor>
  <xdr:twoCellAnchor>
    <xdr:from>
      <xdr:col>5</xdr:col>
      <xdr:colOff>133350</xdr:colOff>
      <xdr:row>8</xdr:row>
      <xdr:rowOff>57150</xdr:rowOff>
    </xdr:from>
    <xdr:to>
      <xdr:col>6</xdr:col>
      <xdr:colOff>333375</xdr:colOff>
      <xdr:row>12</xdr:row>
      <xdr:rowOff>38100</xdr:rowOff>
    </xdr:to>
    <xdr:sp>
      <xdr:nvSpPr>
        <xdr:cNvPr id="11" name="AutoShape 11"/>
        <xdr:cNvSpPr>
          <a:spLocks/>
        </xdr:cNvSpPr>
      </xdr:nvSpPr>
      <xdr:spPr>
        <a:xfrm>
          <a:off x="4229100" y="1352550"/>
          <a:ext cx="809625" cy="628650"/>
        </a:xfrm>
        <a:prstGeom prst="plu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You</a:t>
          </a:r>
        </a:p>
      </xdr:txBody>
    </xdr:sp>
    <xdr:clientData/>
  </xdr:twoCellAnchor>
  <xdr:twoCellAnchor>
    <xdr:from>
      <xdr:col>5</xdr:col>
      <xdr:colOff>581025</xdr:colOff>
      <xdr:row>12</xdr:row>
      <xdr:rowOff>85725</xdr:rowOff>
    </xdr:from>
    <xdr:to>
      <xdr:col>5</xdr:col>
      <xdr:colOff>581025</xdr:colOff>
      <xdr:row>15</xdr:row>
      <xdr:rowOff>28575</xdr:rowOff>
    </xdr:to>
    <xdr:sp>
      <xdr:nvSpPr>
        <xdr:cNvPr id="12" name="Line 12"/>
        <xdr:cNvSpPr>
          <a:spLocks/>
        </xdr:cNvSpPr>
      </xdr:nvSpPr>
      <xdr:spPr>
        <a:xfrm flipV="1">
          <a:off x="4676775" y="20288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26</xdr:row>
      <xdr:rowOff>66675</xdr:rowOff>
    </xdr:from>
    <xdr:to>
      <xdr:col>9</xdr:col>
      <xdr:colOff>304800</xdr:colOff>
      <xdr:row>37</xdr:row>
      <xdr:rowOff>114300</xdr:rowOff>
    </xdr:to>
    <xdr:sp>
      <xdr:nvSpPr>
        <xdr:cNvPr id="13" name="TextBox 13"/>
        <xdr:cNvSpPr txBox="1">
          <a:spLocks noChangeArrowheads="1"/>
        </xdr:cNvSpPr>
      </xdr:nvSpPr>
      <xdr:spPr>
        <a:xfrm>
          <a:off x="142875" y="4276725"/>
          <a:ext cx="7715250" cy="182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How to read the list: </a:t>
          </a:r>
          <a:r>
            <a:rPr lang="en-US" cap="none" sz="1000" b="0" i="0" u="none" baseline="0">
              <a:latin typeface="Arial"/>
              <a:ea typeface="Arial"/>
              <a:cs typeface="Arial"/>
            </a:rPr>
            <a:t> The equipment list is driven by the headcount (see 1 below). This number is updated by me.   I update the date (2) anytime changes are made, so that you can see if you have the most recent copy saved.  The "per person" quantity (3) is the amount of each item necessary per person. (This quantity is written in white text, so you can't see it.)  This is based on our experience from past tailgates. The Total quantity (4) is the per person quantity multipled by the headcount and the amount you should bring if this is your item.  Items (5) are written with specifics and sizes if required.  Items listed in red (6) are items no one has signed up for.   Names in blue (7) are bringing items that are leftover from a previous tailgate.
Items where many of the same thing are required and will be brought by different people (such as beer, coolers, tables, etc) are listed as shown (8).  The total quantity is only listed once (9) and subsequent items are listed with a 1 or a 0.  As the headcount changes, 0's change to 1's and new items will appear.  The first person listed need only bring one item.  
Change the headcount and press enter to watch item quantities change.
</a:t>
          </a:r>
        </a:p>
      </xdr:txBody>
    </xdr:sp>
    <xdr:clientData/>
  </xdr:twoCellAnchor>
  <xdr:twoCellAnchor>
    <xdr:from>
      <xdr:col>2</xdr:col>
      <xdr:colOff>504825</xdr:colOff>
      <xdr:row>38</xdr:row>
      <xdr:rowOff>28575</xdr:rowOff>
    </xdr:from>
    <xdr:to>
      <xdr:col>2</xdr:col>
      <xdr:colOff>733425</xdr:colOff>
      <xdr:row>39</xdr:row>
      <xdr:rowOff>133350</xdr:rowOff>
    </xdr:to>
    <xdr:sp>
      <xdr:nvSpPr>
        <xdr:cNvPr id="14" name="AutoShape 14"/>
        <xdr:cNvSpPr>
          <a:spLocks/>
        </xdr:cNvSpPr>
      </xdr:nvSpPr>
      <xdr:spPr>
        <a:xfrm>
          <a:off x="1724025" y="6181725"/>
          <a:ext cx="228600" cy="266700"/>
        </a:xfrm>
        <a:prstGeom prst="borderCallout2">
          <a:avLst>
            <a:gd name="adj1" fmla="val -345833"/>
            <a:gd name="adj2" fmla="val 67856"/>
            <a:gd name="adj3" fmla="val -220833"/>
            <a:gd name="adj4" fmla="val -7143"/>
            <a:gd name="adj5" fmla="val -83333"/>
            <a:gd name="adj6" fmla="val -7143"/>
            <a:gd name="adj7" fmla="val -333333"/>
            <a:gd name="adj8" fmla="val 860712"/>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1</a:t>
          </a:r>
        </a:p>
      </xdr:txBody>
    </xdr:sp>
    <xdr:clientData/>
  </xdr:twoCellAnchor>
  <xdr:twoCellAnchor>
    <xdr:from>
      <xdr:col>5</xdr:col>
      <xdr:colOff>400050</xdr:colOff>
      <xdr:row>41</xdr:row>
      <xdr:rowOff>66675</xdr:rowOff>
    </xdr:from>
    <xdr:to>
      <xdr:col>6</xdr:col>
      <xdr:colOff>0</xdr:colOff>
      <xdr:row>42</xdr:row>
      <xdr:rowOff>142875</xdr:rowOff>
    </xdr:to>
    <xdr:sp>
      <xdr:nvSpPr>
        <xdr:cNvPr id="15" name="AutoShape 15"/>
        <xdr:cNvSpPr>
          <a:spLocks/>
        </xdr:cNvSpPr>
      </xdr:nvSpPr>
      <xdr:spPr>
        <a:xfrm flipH="1">
          <a:off x="4495800" y="6819900"/>
          <a:ext cx="209550" cy="238125"/>
        </a:xfrm>
        <a:prstGeom prst="borderCallout2">
          <a:avLst>
            <a:gd name="adj1" fmla="val -422731"/>
            <a:gd name="adj2" fmla="val -78000"/>
            <a:gd name="adj3" fmla="val -259092"/>
            <a:gd name="adj4" fmla="val -2000"/>
            <a:gd name="adj5" fmla="val -86365"/>
            <a:gd name="adj6" fmla="val -2000"/>
            <a:gd name="adj7" fmla="val 1722726"/>
            <a:gd name="adj8" fmla="val 554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2</a:t>
          </a:r>
        </a:p>
      </xdr:txBody>
    </xdr:sp>
    <xdr:clientData/>
  </xdr:twoCellAnchor>
  <xdr:twoCellAnchor>
    <xdr:from>
      <xdr:col>1</xdr:col>
      <xdr:colOff>180975</xdr:colOff>
      <xdr:row>41</xdr:row>
      <xdr:rowOff>66675</xdr:rowOff>
    </xdr:from>
    <xdr:to>
      <xdr:col>1</xdr:col>
      <xdr:colOff>409575</xdr:colOff>
      <xdr:row>43</xdr:row>
      <xdr:rowOff>9525</xdr:rowOff>
    </xdr:to>
    <xdr:sp>
      <xdr:nvSpPr>
        <xdr:cNvPr id="16" name="AutoShape 16"/>
        <xdr:cNvSpPr>
          <a:spLocks/>
        </xdr:cNvSpPr>
      </xdr:nvSpPr>
      <xdr:spPr>
        <a:xfrm>
          <a:off x="790575" y="6819900"/>
          <a:ext cx="228600" cy="266700"/>
        </a:xfrm>
        <a:prstGeom prst="borderCallout2">
          <a:avLst>
            <a:gd name="adj1" fmla="val -225000"/>
            <a:gd name="adj2" fmla="val 103569"/>
            <a:gd name="adj3" fmla="val -162500"/>
            <a:gd name="adj4" fmla="val -7143"/>
            <a:gd name="adj5" fmla="val -83333"/>
            <a:gd name="adj6" fmla="val -7143"/>
            <a:gd name="adj7" fmla="val 75000"/>
            <a:gd name="adj8" fmla="val 967856"/>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3</a:t>
          </a:r>
        </a:p>
      </xdr:txBody>
    </xdr:sp>
    <xdr:clientData/>
  </xdr:twoCellAnchor>
  <xdr:twoCellAnchor>
    <xdr:from>
      <xdr:col>2</xdr:col>
      <xdr:colOff>76200</xdr:colOff>
      <xdr:row>41</xdr:row>
      <xdr:rowOff>104775</xdr:rowOff>
    </xdr:from>
    <xdr:to>
      <xdr:col>2</xdr:col>
      <xdr:colOff>304800</xdr:colOff>
      <xdr:row>43</xdr:row>
      <xdr:rowOff>47625</xdr:rowOff>
    </xdr:to>
    <xdr:sp>
      <xdr:nvSpPr>
        <xdr:cNvPr id="17" name="AutoShape 17"/>
        <xdr:cNvSpPr>
          <a:spLocks/>
        </xdr:cNvSpPr>
      </xdr:nvSpPr>
      <xdr:spPr>
        <a:xfrm>
          <a:off x="1295400" y="6858000"/>
          <a:ext cx="228600" cy="266700"/>
        </a:xfrm>
        <a:prstGeom prst="borderCallout2">
          <a:avLst>
            <a:gd name="adj1" fmla="val -154166"/>
            <a:gd name="adj2" fmla="val 75000"/>
            <a:gd name="adj3" fmla="val -125000"/>
            <a:gd name="adj4" fmla="val -7143"/>
            <a:gd name="adj5" fmla="val -83333"/>
            <a:gd name="adj6" fmla="val -7143"/>
            <a:gd name="adj7" fmla="val 120833"/>
            <a:gd name="adj8" fmla="val 1014287"/>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4</a:t>
          </a:r>
        </a:p>
      </xdr:txBody>
    </xdr:sp>
    <xdr:clientData/>
  </xdr:twoCellAnchor>
  <xdr:twoCellAnchor>
    <xdr:from>
      <xdr:col>2</xdr:col>
      <xdr:colOff>1200150</xdr:colOff>
      <xdr:row>41</xdr:row>
      <xdr:rowOff>142875</xdr:rowOff>
    </xdr:from>
    <xdr:to>
      <xdr:col>2</xdr:col>
      <xdr:colOff>1428750</xdr:colOff>
      <xdr:row>43</xdr:row>
      <xdr:rowOff>85725</xdr:rowOff>
    </xdr:to>
    <xdr:sp>
      <xdr:nvSpPr>
        <xdr:cNvPr id="18" name="AutoShape 18"/>
        <xdr:cNvSpPr>
          <a:spLocks/>
        </xdr:cNvSpPr>
      </xdr:nvSpPr>
      <xdr:spPr>
        <a:xfrm>
          <a:off x="2419350" y="6896100"/>
          <a:ext cx="228600" cy="266700"/>
        </a:xfrm>
        <a:prstGeom prst="borderCallout2">
          <a:avLst>
            <a:gd name="adj1" fmla="val -345833"/>
            <a:gd name="adj2" fmla="val 135712"/>
            <a:gd name="adj3" fmla="val -237500"/>
            <a:gd name="adj4" fmla="val -7143"/>
            <a:gd name="adj5" fmla="val -83333"/>
            <a:gd name="adj6" fmla="val -7143"/>
            <a:gd name="adj7" fmla="val -370833"/>
            <a:gd name="adj8" fmla="val 112143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5</a:t>
          </a:r>
        </a:p>
      </xdr:txBody>
    </xdr:sp>
    <xdr:clientData/>
  </xdr:twoCellAnchor>
  <xdr:twoCellAnchor>
    <xdr:from>
      <xdr:col>2</xdr:col>
      <xdr:colOff>1619250</xdr:colOff>
      <xdr:row>50</xdr:row>
      <xdr:rowOff>152400</xdr:rowOff>
    </xdr:from>
    <xdr:to>
      <xdr:col>2</xdr:col>
      <xdr:colOff>1866900</xdr:colOff>
      <xdr:row>52</xdr:row>
      <xdr:rowOff>66675</xdr:rowOff>
    </xdr:to>
    <xdr:sp>
      <xdr:nvSpPr>
        <xdr:cNvPr id="19" name="AutoShape 19"/>
        <xdr:cNvSpPr>
          <a:spLocks/>
        </xdr:cNvSpPr>
      </xdr:nvSpPr>
      <xdr:spPr>
        <a:xfrm>
          <a:off x="2838450" y="8362950"/>
          <a:ext cx="247650" cy="238125"/>
        </a:xfrm>
        <a:prstGeom prst="borderCallout2">
          <a:avLst>
            <a:gd name="adj1" fmla="val -400000"/>
            <a:gd name="adj2" fmla="val -110000"/>
            <a:gd name="adj3" fmla="val -250000"/>
            <a:gd name="adj4" fmla="val -2000"/>
            <a:gd name="adj5" fmla="val -80768"/>
            <a:gd name="adj6" fmla="val -2000"/>
            <a:gd name="adj7" fmla="val -1376921"/>
            <a:gd name="adj8" fmla="val 926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6</a:t>
          </a:r>
        </a:p>
      </xdr:txBody>
    </xdr:sp>
    <xdr:clientData/>
  </xdr:twoCellAnchor>
  <xdr:twoCellAnchor>
    <xdr:from>
      <xdr:col>5</xdr:col>
      <xdr:colOff>228600</xdr:colOff>
      <xdr:row>50</xdr:row>
      <xdr:rowOff>133350</xdr:rowOff>
    </xdr:from>
    <xdr:to>
      <xdr:col>5</xdr:col>
      <xdr:colOff>476250</xdr:colOff>
      <xdr:row>52</xdr:row>
      <xdr:rowOff>47625</xdr:rowOff>
    </xdr:to>
    <xdr:sp>
      <xdr:nvSpPr>
        <xdr:cNvPr id="20" name="AutoShape 20"/>
        <xdr:cNvSpPr>
          <a:spLocks/>
        </xdr:cNvSpPr>
      </xdr:nvSpPr>
      <xdr:spPr>
        <a:xfrm>
          <a:off x="4324350" y="8343900"/>
          <a:ext cx="247650" cy="238125"/>
        </a:xfrm>
        <a:prstGeom prst="borderCallout2">
          <a:avLst>
            <a:gd name="adj1" fmla="val -384615"/>
            <a:gd name="adj2" fmla="val -246000"/>
            <a:gd name="adj3" fmla="val -242305"/>
            <a:gd name="adj4" fmla="val -2000"/>
            <a:gd name="adj5" fmla="val -80768"/>
            <a:gd name="adj6" fmla="val -2000"/>
            <a:gd name="adj7" fmla="val -900000"/>
            <a:gd name="adj8" fmla="val 1002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7</a:t>
          </a:r>
        </a:p>
      </xdr:txBody>
    </xdr:sp>
    <xdr:clientData/>
  </xdr:twoCellAnchor>
  <xdr:twoCellAnchor>
    <xdr:from>
      <xdr:col>8</xdr:col>
      <xdr:colOff>1066800</xdr:colOff>
      <xdr:row>41</xdr:row>
      <xdr:rowOff>114300</xdr:rowOff>
    </xdr:from>
    <xdr:to>
      <xdr:col>8</xdr:col>
      <xdr:colOff>1314450</xdr:colOff>
      <xdr:row>43</xdr:row>
      <xdr:rowOff>28575</xdr:rowOff>
    </xdr:to>
    <xdr:sp>
      <xdr:nvSpPr>
        <xdr:cNvPr id="21" name="AutoShape 21"/>
        <xdr:cNvSpPr>
          <a:spLocks/>
        </xdr:cNvSpPr>
      </xdr:nvSpPr>
      <xdr:spPr>
        <a:xfrm>
          <a:off x="6991350" y="6867525"/>
          <a:ext cx="247650" cy="238125"/>
        </a:xfrm>
        <a:prstGeom prst="borderCallout2">
          <a:avLst>
            <a:gd name="adj1" fmla="val -192305"/>
            <a:gd name="adj2" fmla="val 94000"/>
            <a:gd name="adj3" fmla="val -142305"/>
            <a:gd name="adj4" fmla="val -2000"/>
            <a:gd name="adj5" fmla="val -80768"/>
            <a:gd name="adj6" fmla="val -2000"/>
            <a:gd name="adj7" fmla="val -1238462"/>
            <a:gd name="adj8" fmla="val 1078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8</a:t>
          </a:r>
        </a:p>
      </xdr:txBody>
    </xdr:sp>
    <xdr:clientData/>
  </xdr:twoCellAnchor>
  <xdr:twoCellAnchor>
    <xdr:from>
      <xdr:col>7</xdr:col>
      <xdr:colOff>581025</xdr:colOff>
      <xdr:row>42</xdr:row>
      <xdr:rowOff>0</xdr:rowOff>
    </xdr:from>
    <xdr:to>
      <xdr:col>8</xdr:col>
      <xdr:colOff>219075</xdr:colOff>
      <xdr:row>43</xdr:row>
      <xdr:rowOff>76200</xdr:rowOff>
    </xdr:to>
    <xdr:sp>
      <xdr:nvSpPr>
        <xdr:cNvPr id="22" name="AutoShape 22"/>
        <xdr:cNvSpPr>
          <a:spLocks/>
        </xdr:cNvSpPr>
      </xdr:nvSpPr>
      <xdr:spPr>
        <a:xfrm>
          <a:off x="5895975" y="6915150"/>
          <a:ext cx="247650" cy="238125"/>
        </a:xfrm>
        <a:prstGeom prst="borderCallout2">
          <a:avLst>
            <a:gd name="adj1" fmla="val -138462"/>
            <a:gd name="adj2" fmla="val 78000"/>
            <a:gd name="adj3" fmla="val -111537"/>
            <a:gd name="adj4" fmla="val -2000"/>
            <a:gd name="adj5" fmla="val -80768"/>
            <a:gd name="adj6" fmla="val -2000"/>
            <a:gd name="adj7" fmla="val -734615"/>
            <a:gd name="adj8" fmla="val 1122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9</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13:D114" sheet="Equipment list"/>
  </cacheSource>
  <cacheFields count="2">
    <cacheField name="Breakfast  ">
      <sharedItems containsBlank="1" containsMixedTypes="0" count="65">
        <s v="Assorted baked goods"/>
        <s v="sausage (links)"/>
        <s v="bacon (pkgs)"/>
        <s v="eggs (dozen)"/>
        <s v="cheese (slices)"/>
        <s v="freedom toast sticks (box) size?"/>
        <s v="pancake mix (bottle)"/>
        <s v="maple syrup (12 oz bottle real or fake)"/>
        <s v="hot cocoa (packets)"/>
        <s v="mini marshmellows (bag)"/>
        <s v="tea (bags)"/>
        <s v="instant coffee (singles)"/>
        <s v="    cream, sugar"/>
        <m/>
        <s v="Lunch (pre-game)"/>
        <s v="Bacon-Cheddar burgers"/>
        <s v="   hamburger buns (potato rolls)"/>
        <s v="   cheddar cheese slices"/>
        <s v="pepperoni bread"/>
        <s v="chili (medium)"/>
        <s v="Saltine crackers (box)"/>
        <s v="Heinz ketchup (big one or 2 small)"/>
        <s v="regular mustard"/>
        <s v="spicy mustard"/>
        <s v="Dinner (post-game)"/>
        <s v="13 lb Turkey (fully defrosted)"/>
        <s v="pierogies (48 box)"/>
        <s v="Freedom Fries (10 lbs potatoes)"/>
        <s v="   Freedom fry maker"/>
        <s v="cheese sticks (lbs)"/>
        <s v="onion petals (box)"/>
        <s v="jalapeño poppers (big box)"/>
        <s v="corndogs"/>
        <s v="   foil pans (bigger=better)"/>
        <s v="hot dogs"/>
        <s v="Snacks"/>
        <s v="Entire table of snacks and other"/>
        <s v="baked goods"/>
        <s v="Fruit tray"/>
        <s v="Veggie tray with dip"/>
        <s v="Oreos (bag)"/>
        <s v="Twinkies (box)"/>
        <s v="group items"/>
        <s v="cooler with ice"/>
        <s v=" "/>
        <s v="beer pong table"/>
        <s v="folding table"/>
        <s v="PSU table"/>
        <s v="round table"/>
        <s v="drinking/beer pong cups"/>
        <s v="sytrofoam cups"/>
        <s v="Coffee lids"/>
        <s v="ping pong balls"/>
        <s v="polish horseshoe set"/>
        <s v="deck of cards"/>
        <s v="toilet paper"/>
        <s v="sunscreen"/>
        <s v="Truck items"/>
        <s v="flag pole/weather vane/flag"/>
        <s v="flag pole/flag"/>
        <s v="truck mounted beer opener"/>
        <s v="12 sq ft canopy and sides"/>
        <s v="10 sq ft canopy"/>
        <s v="    Freedom fry maker"/>
        <s v="eggs"/>
      </sharedItems>
    </cacheField>
    <cacheField name="bin">
      <sharedItems containsString="0" containsBlank="1" containsMixedTypes="0" containsNumber="1" containsInteger="1" count="4">
        <m/>
        <n v="1"/>
        <n v="2"/>
        <n v="3"/>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I41:J120" sheet="Equipment list"/>
  </cacheSource>
  <cacheFields count="2">
    <cacheField name="Hard Liquor">
      <sharedItems containsBlank="1" containsMixedTypes="0" count="68">
        <s v="specialty drink (gal)"/>
        <s v="     5 gal drink cooler"/>
        <s v="Blue and white jello shots"/>
        <s v="Dixie cups"/>
        <m/>
        <s v="Grill items"/>
        <s v="Full-size BBQ grill"/>
        <s v="   propane tank"/>
        <s v="man killer (spatula)"/>
        <s v="tongs"/>
        <s v="grill brush"/>
        <s v="grill lighter"/>
        <s v="cast-iron skillet"/>
        <s v="griddle"/>
        <s v="spatula"/>
        <s v="Deep Fryer "/>
        <s v="deep fryer"/>
        <s v="oil"/>
        <s v="    propane tank"/>
        <s v="hot gloves"/>
        <s v="oil thermometer"/>
        <s v="basket"/>
        <s v="carving knife"/>
        <s v="lighter"/>
        <s v="big fork"/>
        <s v="fire extinguisher"/>
        <s v="Cooking items"/>
        <s v="propane camp stove "/>
        <s v="pots and pans"/>
        <s v="coffee pot"/>
        <s v="ladle"/>
        <s v="cork screw"/>
        <s v="cooking spray"/>
        <s v="plates (plastic)"/>
        <s v="bowls"/>
        <s v="spoons"/>
        <s v="forks"/>
        <s v="knives"/>
        <s v="Jar of toothpicks"/>
        <s v="salt and pepper (big and little)"/>
        <s v="Aluminum foil (heavy duty)"/>
        <s v="paper towels"/>
        <s v="trash bags"/>
        <s v="Lysol cleaning spray"/>
        <s v="water spray bottle"/>
        <s v="5 gal water jug"/>
        <s v="hand wipes (box)"/>
        <s v="dish soap (bottle)"/>
        <s v="Light, power and heat"/>
        <s v="white christmas lights"/>
        <s v="  extention cords"/>
        <s v="  dusk/dawn timer"/>
        <s v="Propane lantern, tree, mantels"/>
        <s v="  Propane slow cooker"/>
        <s v="   extension hose"/>
        <s v="spare grill lighters"/>
        <s v="stereo"/>
        <s v="power invertor"/>
        <s v="Bon Flame fireplace"/>
        <s v="   big wrench"/>
        <s v="Tailgate stuff"/>
        <s v="Dog and dog stuff"/>
        <s v="guestbook"/>
        <s v="tip jar"/>
        <s v="tailgating cards"/>
        <s v="tailgate flier"/>
        <s v="spare coozies"/>
        <s v="tent pegs"/>
      </sharedItems>
    </cacheField>
    <cacheField name="bin">
      <sharedItems containsString="0" containsBlank="1" containsMixedTypes="0" containsNumber="1" containsInteger="1" count="3">
        <m/>
        <n v="2"/>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itemPrintTitles="1" compactData="0" updatedVersion="2" indent="0" showMemberPropertyTips="1">
  <location ref="A3:C22" firstHeaderRow="2" firstDataRow="2" firstDataCol="2"/>
  <pivotFields count="2">
    <pivotField axis="axisRow" dataField="1" compact="0" outline="0" subtotalTop="0" showAll="0">
      <items count="66">
        <item x="12"/>
        <item x="33"/>
        <item x="28"/>
        <item x="16"/>
        <item x="51"/>
        <item x="49"/>
        <item x="8"/>
        <item x="11"/>
        <item x="7"/>
        <item x="9"/>
        <item x="6"/>
        <item x="52"/>
        <item x="20"/>
        <item x="50"/>
        <item x="10"/>
        <item x="44"/>
        <item m="1" x="63"/>
        <item x="17"/>
        <item x="62"/>
        <item x="61"/>
        <item x="25"/>
        <item x="0"/>
        <item x="2"/>
        <item x="15"/>
        <item x="37"/>
        <item x="45"/>
        <item x="4"/>
        <item x="29"/>
        <item x="19"/>
        <item x="43"/>
        <item x="32"/>
        <item x="54"/>
        <item x="24"/>
        <item m="1" x="64"/>
        <item x="36"/>
        <item x="59"/>
        <item x="58"/>
        <item x="46"/>
        <item x="27"/>
        <item x="5"/>
        <item x="38"/>
        <item x="42"/>
        <item x="21"/>
        <item x="34"/>
        <item x="31"/>
        <item x="14"/>
        <item x="30"/>
        <item x="40"/>
        <item x="18"/>
        <item x="26"/>
        <item x="53"/>
        <item x="47"/>
        <item x="22"/>
        <item x="48"/>
        <item x="1"/>
        <item x="35"/>
        <item x="23"/>
        <item x="56"/>
        <item x="55"/>
        <item x="57"/>
        <item x="60"/>
        <item x="41"/>
        <item x="39"/>
        <item x="13"/>
        <item x="3"/>
        <item t="default"/>
      </items>
    </pivotField>
    <pivotField axis="axisRow" compact="0" outline="0" subtotalTop="0" showAll="0" sortType="ascending" rankBy="0" countSubtotal="1">
      <items count="5">
        <item x="1"/>
        <item x="2"/>
        <item m="1" x="3"/>
        <item h="1" x="0"/>
        <item t="count"/>
      </items>
    </pivotField>
  </pivotFields>
  <rowFields count="2">
    <field x="1"/>
    <field x="0"/>
  </rowFields>
  <rowItems count="18">
    <i>
      <x/>
      <x/>
    </i>
    <i r="1">
      <x v="6"/>
    </i>
    <i r="1">
      <x v="7"/>
    </i>
    <i r="1">
      <x v="8"/>
    </i>
    <i r="1">
      <x v="9"/>
    </i>
    <i r="1">
      <x v="10"/>
    </i>
    <i r="1">
      <x v="11"/>
    </i>
    <i r="1">
      <x v="14"/>
    </i>
    <i t="countA">
      <x/>
    </i>
    <i>
      <x v="1"/>
      <x v="1"/>
    </i>
    <i r="1">
      <x v="2"/>
    </i>
    <i r="1">
      <x v="3"/>
    </i>
    <i r="1">
      <x v="4"/>
    </i>
    <i r="1">
      <x v="5"/>
    </i>
    <i r="1">
      <x v="12"/>
    </i>
    <i r="1">
      <x v="13"/>
    </i>
    <i t="countA">
      <x v="1"/>
    </i>
    <i t="grand">
      <x/>
    </i>
  </rowItems>
  <colItems count="1">
    <i/>
  </colItems>
  <dataFields count="1">
    <dataField name="Count of Breakfast  " fld="0"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pageWrap="1" itemPrintTitles="1" compactData="0" updatedVersion="2" indent="0" showMemberPropertyTips="1">
  <location ref="E3:G21" firstHeaderRow="2" firstDataRow="2" firstDataCol="2"/>
  <pivotFields count="2">
    <pivotField axis="axisRow" dataField="1" compact="0" outline="0" subtotalTop="0" showAll="0">
      <items count="69">
        <item x="1"/>
        <item x="18"/>
        <item x="59"/>
        <item x="54"/>
        <item x="7"/>
        <item x="51"/>
        <item x="50"/>
        <item x="53"/>
        <item x="45"/>
        <item x="40"/>
        <item x="21"/>
        <item x="24"/>
        <item x="2"/>
        <item x="58"/>
        <item x="34"/>
        <item x="22"/>
        <item x="12"/>
        <item x="29"/>
        <item x="26"/>
        <item x="32"/>
        <item x="31"/>
        <item x="16"/>
        <item x="15"/>
        <item x="47"/>
        <item x="3"/>
        <item x="61"/>
        <item x="25"/>
        <item x="36"/>
        <item x="6"/>
        <item x="13"/>
        <item x="10"/>
        <item x="5"/>
        <item x="11"/>
        <item x="62"/>
        <item x="46"/>
        <item x="19"/>
        <item x="38"/>
        <item x="37"/>
        <item x="30"/>
        <item x="48"/>
        <item x="23"/>
        <item x="43"/>
        <item x="8"/>
        <item x="17"/>
        <item x="20"/>
        <item x="41"/>
        <item x="33"/>
        <item x="28"/>
        <item x="57"/>
        <item x="27"/>
        <item x="52"/>
        <item x="39"/>
        <item x="66"/>
        <item x="55"/>
        <item x="14"/>
        <item x="0"/>
        <item x="35"/>
        <item x="56"/>
        <item x="65"/>
        <item x="60"/>
        <item x="64"/>
        <item x="67"/>
        <item x="63"/>
        <item x="9"/>
        <item x="42"/>
        <item x="44"/>
        <item x="49"/>
        <item x="4"/>
        <item t="default"/>
      </items>
    </pivotField>
    <pivotField axis="axisRow" compact="0" outline="0" subtotalTop="0" showAll="0">
      <items count="4">
        <item x="2"/>
        <item x="1"/>
        <item h="1" x="0"/>
        <item t="default"/>
      </items>
    </pivotField>
  </pivotFields>
  <rowFields count="2">
    <field x="1"/>
    <field x="0"/>
  </rowFields>
  <rowItems count="17">
    <i>
      <x/>
      <x v="9"/>
    </i>
    <i r="1">
      <x v="17"/>
    </i>
    <i r="1">
      <x v="19"/>
    </i>
    <i r="1">
      <x v="38"/>
    </i>
    <i r="1">
      <x v="51"/>
    </i>
    <i t="default">
      <x/>
    </i>
    <i>
      <x v="1"/>
      <x v="14"/>
    </i>
    <i r="1">
      <x v="24"/>
    </i>
    <i r="1">
      <x v="27"/>
    </i>
    <i r="1">
      <x v="36"/>
    </i>
    <i r="1">
      <x v="37"/>
    </i>
    <i r="1">
      <x v="40"/>
    </i>
    <i r="1">
      <x v="46"/>
    </i>
    <i r="1">
      <x v="56"/>
    </i>
    <i r="1">
      <x v="64"/>
    </i>
    <i t="default">
      <x v="1"/>
    </i>
    <i t="grand">
      <x/>
    </i>
  </rowItems>
  <colItems count="1">
    <i/>
  </colItems>
  <dataFields count="1">
    <dataField name="Count of Hard Liquor" fld="0"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134"/>
  <sheetViews>
    <sheetView tabSelected="1" zoomScaleSheetLayoutView="25" workbookViewId="0" topLeftCell="A1">
      <pane ySplit="1" topLeftCell="BM2" activePane="bottomLeft" state="frozen"/>
      <selection pane="topLeft" activeCell="A1" sqref="A1"/>
      <selection pane="bottomLeft" activeCell="H2" sqref="H2"/>
    </sheetView>
  </sheetViews>
  <sheetFormatPr defaultColWidth="9.140625" defaultRowHeight="12.75"/>
  <cols>
    <col min="1" max="1" width="9.7109375" style="98" customWidth="1"/>
    <col min="2" max="2" width="10.57421875" style="41" bestFit="1" customWidth="1"/>
    <col min="3" max="3" width="33.7109375" style="41" bestFit="1" customWidth="1"/>
    <col min="4" max="4" width="3.421875" style="41" bestFit="1" customWidth="1"/>
    <col min="5" max="5" width="18.421875" style="41" bestFit="1" customWidth="1"/>
    <col min="6" max="6" width="3.57421875" style="64" customWidth="1"/>
    <col min="7" max="7" width="12.57421875" style="61" customWidth="1"/>
    <col min="8" max="8" width="11.57421875" style="61" bestFit="1" customWidth="1"/>
    <col min="9" max="9" width="26.57421875" style="41" bestFit="1" customWidth="1"/>
    <col min="10" max="10" width="3.8515625" style="41" bestFit="1" customWidth="1"/>
    <col min="11" max="11" width="16.57421875" style="41" bestFit="1" customWidth="1"/>
    <col min="12" max="12" width="3.7109375" style="62" customWidth="1"/>
    <col min="13" max="13" width="3.8515625" style="61" customWidth="1"/>
    <col min="14" max="14" width="4.28125" style="61" customWidth="1"/>
    <col min="15" max="15" width="11.7109375" style="41" bestFit="1" customWidth="1"/>
    <col min="16" max="16" width="14.57421875" style="41" bestFit="1" customWidth="1"/>
    <col min="17" max="17" width="11.00390625" style="41" bestFit="1" customWidth="1"/>
    <col min="18" max="18" width="19.8515625" style="41" bestFit="1" customWidth="1"/>
    <col min="19" max="19" width="6.57421875" style="41" customWidth="1"/>
    <col min="20" max="16384" width="9.140625" style="41" customWidth="1"/>
  </cols>
  <sheetData>
    <row r="1" spans="2:11" ht="21" thickBot="1">
      <c r="B1" s="60">
        <v>31</v>
      </c>
      <c r="C1" s="140" t="s">
        <v>214</v>
      </c>
      <c r="D1" s="140"/>
      <c r="E1" s="61"/>
      <c r="F1" s="62"/>
      <c r="G1" s="105" t="s">
        <v>46</v>
      </c>
      <c r="H1" s="108">
        <v>39365</v>
      </c>
      <c r="I1" s="9" t="s">
        <v>47</v>
      </c>
      <c r="J1" s="9"/>
      <c r="K1" s="63">
        <f ca="1">TODAY()</f>
        <v>39365</v>
      </c>
    </row>
    <row r="2" spans="1:12" s="61" customFormat="1" ht="12.75">
      <c r="A2" s="98"/>
      <c r="B2" s="68"/>
      <c r="C2" s="114"/>
      <c r="D2" s="114"/>
      <c r="F2" s="62"/>
      <c r="G2" s="105"/>
      <c r="H2" s="108"/>
      <c r="I2" s="105"/>
      <c r="J2" s="105"/>
      <c r="K2" s="115"/>
      <c r="L2" s="62"/>
    </row>
    <row r="3" spans="2:10" ht="12.75">
      <c r="B3" s="66" t="s">
        <v>156</v>
      </c>
      <c r="C3" s="149" t="s">
        <v>242</v>
      </c>
      <c r="D3" s="149"/>
      <c r="E3" s="149"/>
      <c r="F3" s="149"/>
      <c r="G3" s="149"/>
      <c r="H3" s="149"/>
      <c r="I3" s="149"/>
      <c r="J3" s="134"/>
    </row>
    <row r="4" spans="1:12" s="61" customFormat="1" ht="12.75">
      <c r="A4" s="98"/>
      <c r="B4" s="68"/>
      <c r="C4" s="148" t="s">
        <v>209</v>
      </c>
      <c r="D4" s="148"/>
      <c r="E4" s="148"/>
      <c r="F4" s="148"/>
      <c r="G4" s="148"/>
      <c r="H4" s="148"/>
      <c r="I4" s="148"/>
      <c r="J4" s="116"/>
      <c r="L4" s="62"/>
    </row>
    <row r="5" spans="1:12" s="61" customFormat="1" ht="12.75">
      <c r="A5" s="98"/>
      <c r="F5" s="62"/>
      <c r="L5" s="62"/>
    </row>
    <row r="6" spans="2:15" ht="12.75">
      <c r="B6" s="67" t="s">
        <v>11</v>
      </c>
      <c r="C6" s="141" t="s">
        <v>4</v>
      </c>
      <c r="D6" s="142" t="s">
        <v>193</v>
      </c>
      <c r="E6" s="64"/>
      <c r="G6" s="100" t="s">
        <v>11</v>
      </c>
      <c r="H6" s="62" t="s">
        <v>12</v>
      </c>
      <c r="I6" s="143" t="s">
        <v>107</v>
      </c>
      <c r="J6" s="144" t="s">
        <v>193</v>
      </c>
      <c r="L6" s="38"/>
      <c r="M6" s="90" t="s">
        <v>114</v>
      </c>
      <c r="N6" s="90" t="s">
        <v>113</v>
      </c>
      <c r="O6" s="68"/>
    </row>
    <row r="7" spans="2:15" ht="12.75">
      <c r="B7" s="59">
        <v>37</v>
      </c>
      <c r="C7" s="41" t="s">
        <v>86</v>
      </c>
      <c r="E7" s="4" t="s">
        <v>45</v>
      </c>
      <c r="F7" s="4"/>
      <c r="G7" s="101">
        <v>0.45</v>
      </c>
      <c r="H7" s="71">
        <f>ROUNDUP(G7*$B$1,0)</f>
        <v>14</v>
      </c>
      <c r="I7" s="41" t="str">
        <f>IF(H7&gt;0,"Yuengling Lager"," ")</f>
        <v>Yuengling Lager</v>
      </c>
      <c r="K7" s="70" t="s">
        <v>18</v>
      </c>
      <c r="L7" s="110"/>
      <c r="M7" s="71" t="s">
        <v>137</v>
      </c>
      <c r="N7" s="71"/>
      <c r="O7" s="72"/>
    </row>
    <row r="8" spans="2:15" ht="12.75">
      <c r="B8" s="59">
        <v>1</v>
      </c>
      <c r="C8" s="41" t="s">
        <v>0</v>
      </c>
      <c r="E8" s="4" t="s">
        <v>20</v>
      </c>
      <c r="F8" s="4"/>
      <c r="G8" s="99">
        <v>1</v>
      </c>
      <c r="H8" s="61">
        <f>IF($H$7&gt;G8,1,0)</f>
        <v>1</v>
      </c>
      <c r="I8" s="57" t="str">
        <f>IF(H8&gt;0,"Yuengling Light Lager"," ")</f>
        <v>Yuengling Light Lager</v>
      </c>
      <c r="J8" s="57"/>
      <c r="K8" s="70" t="s">
        <v>152</v>
      </c>
      <c r="L8" s="73"/>
      <c r="M8" s="71" t="s">
        <v>137</v>
      </c>
      <c r="N8" s="71"/>
      <c r="O8" s="72"/>
    </row>
    <row r="9" spans="2:15" ht="12.75">
      <c r="B9" s="59">
        <v>1</v>
      </c>
      <c r="C9" s="41" t="s">
        <v>85</v>
      </c>
      <c r="E9" s="4" t="s">
        <v>21</v>
      </c>
      <c r="F9" s="4"/>
      <c r="G9" s="99">
        <v>2</v>
      </c>
      <c r="H9" s="61">
        <f aca="true" t="shared" si="0" ref="H9:H35">IF($H$7&gt;G9,1,0)</f>
        <v>1</v>
      </c>
      <c r="I9" s="57" t="str">
        <f>IF(H9&gt;0,"Yuengling Lager Bombers"," ")</f>
        <v>Yuengling Lager Bombers</v>
      </c>
      <c r="J9" s="57"/>
      <c r="K9" s="74" t="s">
        <v>152</v>
      </c>
      <c r="L9" s="75"/>
      <c r="M9" s="71" t="s">
        <v>137</v>
      </c>
      <c r="N9" s="71"/>
      <c r="O9" s="72"/>
    </row>
    <row r="10" spans="2:15" ht="12.75">
      <c r="B10" s="59">
        <v>1</v>
      </c>
      <c r="C10" s="41" t="s">
        <v>1</v>
      </c>
      <c r="E10" s="4" t="s">
        <v>22</v>
      </c>
      <c r="F10" s="4"/>
      <c r="G10" s="99">
        <v>3</v>
      </c>
      <c r="H10" s="61">
        <f t="shared" si="0"/>
        <v>1</v>
      </c>
      <c r="I10" s="57" t="str">
        <f aca="true" t="shared" si="1" ref="I10:I34">IF(H10&gt;0,"Yuengling Lager"," ")</f>
        <v>Yuengling Lager</v>
      </c>
      <c r="J10" s="57"/>
      <c r="K10" s="74" t="s">
        <v>80</v>
      </c>
      <c r="L10" s="73"/>
      <c r="M10" s="71" t="s">
        <v>137</v>
      </c>
      <c r="N10" s="71"/>
      <c r="O10" s="72"/>
    </row>
    <row r="11" spans="2:15" ht="12.75">
      <c r="B11" s="59">
        <v>1</v>
      </c>
      <c r="C11" s="41" t="s">
        <v>223</v>
      </c>
      <c r="E11" s="4" t="s">
        <v>121</v>
      </c>
      <c r="F11" s="4"/>
      <c r="G11" s="99">
        <v>4</v>
      </c>
      <c r="H11" s="61">
        <f t="shared" si="0"/>
        <v>1</v>
      </c>
      <c r="I11" s="57" t="str">
        <f t="shared" si="1"/>
        <v>Yuengling Lager</v>
      </c>
      <c r="J11" s="57"/>
      <c r="K11" s="70" t="s">
        <v>227</v>
      </c>
      <c r="L11" s="73"/>
      <c r="M11" s="71" t="s">
        <v>137</v>
      </c>
      <c r="N11" s="71"/>
      <c r="O11" s="72"/>
    </row>
    <row r="12" spans="1:15" ht="12.75">
      <c r="A12" s="99"/>
      <c r="G12" s="99">
        <v>5</v>
      </c>
      <c r="H12" s="61">
        <f t="shared" si="0"/>
        <v>1</v>
      </c>
      <c r="I12" s="57" t="str">
        <f t="shared" si="1"/>
        <v>Yuengling Lager</v>
      </c>
      <c r="J12" s="57"/>
      <c r="K12" s="70" t="s">
        <v>229</v>
      </c>
      <c r="L12" s="133"/>
      <c r="M12" s="71"/>
      <c r="N12" s="71"/>
      <c r="O12" s="72"/>
    </row>
    <row r="13" spans="1:15" ht="12.75">
      <c r="A13" s="100" t="s">
        <v>11</v>
      </c>
      <c r="B13" s="64" t="s">
        <v>12</v>
      </c>
      <c r="C13" s="143" t="s">
        <v>145</v>
      </c>
      <c r="D13" s="142" t="s">
        <v>193</v>
      </c>
      <c r="E13" s="38" t="s">
        <v>165</v>
      </c>
      <c r="G13" s="99">
        <v>6</v>
      </c>
      <c r="H13" s="61">
        <f t="shared" si="0"/>
        <v>1</v>
      </c>
      <c r="I13" s="57" t="str">
        <f>IF(H13&gt;0,"Miller Lite"," ")</f>
        <v>Miller Lite</v>
      </c>
      <c r="J13" s="57"/>
      <c r="K13" s="70" t="s">
        <v>231</v>
      </c>
      <c r="L13" s="73"/>
      <c r="M13" s="71"/>
      <c r="N13" s="71"/>
      <c r="O13" s="72"/>
    </row>
    <row r="14" spans="1:15" ht="12.75">
      <c r="A14" s="101"/>
      <c r="B14" s="69">
        <v>1</v>
      </c>
      <c r="C14" s="41" t="s">
        <v>136</v>
      </c>
      <c r="E14" s="69" t="s">
        <v>73</v>
      </c>
      <c r="F14" s="8"/>
      <c r="G14" s="99">
        <v>7</v>
      </c>
      <c r="H14" s="61">
        <f t="shared" si="0"/>
        <v>1</v>
      </c>
      <c r="I14" s="57" t="str">
        <f t="shared" si="1"/>
        <v>Yuengling Lager</v>
      </c>
      <c r="J14" s="57"/>
      <c r="K14" s="70" t="s">
        <v>233</v>
      </c>
      <c r="L14" s="73"/>
      <c r="M14" s="71"/>
      <c r="N14" s="71"/>
      <c r="O14" s="72"/>
    </row>
    <row r="15" spans="1:15" ht="12.75">
      <c r="A15" s="102">
        <v>1</v>
      </c>
      <c r="B15" s="69">
        <f aca="true" t="shared" si="2" ref="B15:B24">ROUNDUP(A15*$B$1,0)</f>
        <v>31</v>
      </c>
      <c r="C15" s="57" t="s">
        <v>50</v>
      </c>
      <c r="E15" s="69" t="s">
        <v>227</v>
      </c>
      <c r="F15" s="8"/>
      <c r="G15" s="99">
        <v>8</v>
      </c>
      <c r="H15" s="61">
        <f t="shared" si="0"/>
        <v>1</v>
      </c>
      <c r="I15" s="57" t="str">
        <f t="shared" si="1"/>
        <v>Yuengling Lager</v>
      </c>
      <c r="J15" s="57"/>
      <c r="K15" s="70" t="s">
        <v>235</v>
      </c>
      <c r="L15" s="73"/>
      <c r="M15" s="71" t="s">
        <v>137</v>
      </c>
      <c r="N15" s="71"/>
      <c r="O15" s="72"/>
    </row>
    <row r="16" spans="1:15" ht="12.75">
      <c r="A16" s="102">
        <v>0.08</v>
      </c>
      <c r="B16" s="69">
        <f t="shared" si="2"/>
        <v>3</v>
      </c>
      <c r="C16" s="58" t="s">
        <v>79</v>
      </c>
      <c r="D16" s="11"/>
      <c r="E16" s="69" t="s">
        <v>227</v>
      </c>
      <c r="F16" s="8"/>
      <c r="G16" s="99">
        <v>9</v>
      </c>
      <c r="H16" s="61">
        <f t="shared" si="0"/>
        <v>1</v>
      </c>
      <c r="I16" s="57" t="str">
        <f t="shared" si="1"/>
        <v>Yuengling Lager</v>
      </c>
      <c r="J16" s="57"/>
      <c r="K16" s="70" t="s">
        <v>237</v>
      </c>
      <c r="L16" s="73"/>
      <c r="M16" s="71"/>
      <c r="N16" s="71"/>
      <c r="O16" s="72"/>
    </row>
    <row r="17" spans="1:17" ht="12.75">
      <c r="A17" s="102">
        <f>1/40</f>
        <v>0.025</v>
      </c>
      <c r="B17" s="69">
        <f>ROUNDUP(A17*$B$1,0)</f>
        <v>1</v>
      </c>
      <c r="C17" s="58" t="s">
        <v>196</v>
      </c>
      <c r="D17" s="11"/>
      <c r="E17" s="69" t="s">
        <v>227</v>
      </c>
      <c r="F17" s="8"/>
      <c r="G17" s="99">
        <v>10</v>
      </c>
      <c r="H17" s="61">
        <f t="shared" si="0"/>
        <v>1</v>
      </c>
      <c r="I17" s="57" t="str">
        <f t="shared" si="1"/>
        <v>Yuengling Lager</v>
      </c>
      <c r="J17" s="57"/>
      <c r="K17" s="70" t="s">
        <v>237</v>
      </c>
      <c r="L17" s="73"/>
      <c r="M17" s="71"/>
      <c r="N17" s="71"/>
      <c r="O17" s="72"/>
      <c r="P17" s="72"/>
      <c r="Q17" s="72"/>
    </row>
    <row r="18" spans="1:17" ht="12.75">
      <c r="A18" s="102">
        <f>0.3</f>
        <v>0.3</v>
      </c>
      <c r="B18" s="69">
        <f>ROUNDUP(A18*$B$1,0)</f>
        <v>10</v>
      </c>
      <c r="C18" s="58" t="s">
        <v>175</v>
      </c>
      <c r="D18" s="11"/>
      <c r="E18" s="69" t="s">
        <v>227</v>
      </c>
      <c r="F18" s="8"/>
      <c r="G18" s="99">
        <v>11</v>
      </c>
      <c r="H18" s="61">
        <f t="shared" si="0"/>
        <v>1</v>
      </c>
      <c r="I18" s="57" t="str">
        <f t="shared" si="1"/>
        <v>Yuengling Lager</v>
      </c>
      <c r="J18" s="57"/>
      <c r="K18" s="70" t="s">
        <v>240</v>
      </c>
      <c r="L18" s="73"/>
      <c r="M18" s="71"/>
      <c r="N18" s="71"/>
      <c r="O18" s="72"/>
      <c r="P18" s="72"/>
      <c r="Q18" s="72"/>
    </row>
    <row r="19" spans="1:17" ht="12.75">
      <c r="A19" s="102">
        <v>0.04</v>
      </c>
      <c r="B19" s="69">
        <f t="shared" si="2"/>
        <v>2</v>
      </c>
      <c r="C19" s="57" t="s">
        <v>87</v>
      </c>
      <c r="D19" s="57">
        <v>1</v>
      </c>
      <c r="E19" s="76" t="s">
        <v>162</v>
      </c>
      <c r="F19" s="8"/>
      <c r="G19" s="99">
        <v>12</v>
      </c>
      <c r="H19" s="61">
        <f t="shared" si="0"/>
        <v>1</v>
      </c>
      <c r="I19" s="57" t="str">
        <f t="shared" si="1"/>
        <v>Yuengling Lager</v>
      </c>
      <c r="J19" s="57"/>
      <c r="K19" s="70" t="s">
        <v>240</v>
      </c>
      <c r="L19" s="73"/>
      <c r="M19" s="71"/>
      <c r="N19" s="71"/>
      <c r="O19" s="72"/>
      <c r="P19" s="72"/>
      <c r="Q19" s="72"/>
    </row>
    <row r="20" spans="1:17" ht="12.75">
      <c r="A20" s="102">
        <f>1/60</f>
        <v>0.016666666666666666</v>
      </c>
      <c r="B20" s="69">
        <f t="shared" si="2"/>
        <v>1</v>
      </c>
      <c r="C20" s="57" t="s">
        <v>173</v>
      </c>
      <c r="D20" s="57">
        <v>1</v>
      </c>
      <c r="E20" s="76" t="s">
        <v>160</v>
      </c>
      <c r="F20" s="8"/>
      <c r="G20" s="99">
        <v>13</v>
      </c>
      <c r="H20" s="61">
        <f t="shared" si="0"/>
        <v>1</v>
      </c>
      <c r="I20" s="72" t="str">
        <f>IF(H20&gt;0,"Yuengling Black &amp; Tan"," ")</f>
        <v>Yuengling Black &amp; Tan</v>
      </c>
      <c r="J20" s="57"/>
      <c r="K20" s="70"/>
      <c r="L20" s="73"/>
      <c r="M20" s="71"/>
      <c r="N20" s="71"/>
      <c r="O20" s="72"/>
      <c r="P20" s="72"/>
      <c r="Q20" s="72"/>
    </row>
    <row r="21" spans="1:17" ht="12.75">
      <c r="A21" s="102">
        <v>0.75</v>
      </c>
      <c r="B21" s="69">
        <f t="shared" si="2"/>
        <v>24</v>
      </c>
      <c r="C21" s="57" t="s">
        <v>174</v>
      </c>
      <c r="D21" s="57">
        <v>1</v>
      </c>
      <c r="E21" s="76" t="s">
        <v>180</v>
      </c>
      <c r="F21" s="77"/>
      <c r="G21" s="99">
        <v>14</v>
      </c>
      <c r="H21" s="61">
        <f t="shared" si="0"/>
        <v>0</v>
      </c>
      <c r="I21" s="72" t="str">
        <f t="shared" si="1"/>
        <v> </v>
      </c>
      <c r="J21" s="57"/>
      <c r="K21" s="70"/>
      <c r="L21" s="73"/>
      <c r="M21" s="71"/>
      <c r="N21" s="71"/>
      <c r="O21" s="72"/>
      <c r="P21" s="72"/>
      <c r="Q21" s="72"/>
    </row>
    <row r="22" spans="1:17" ht="12.75">
      <c r="A22" s="102">
        <f>1/60</f>
        <v>0.016666666666666666</v>
      </c>
      <c r="B22" s="69">
        <f t="shared" si="2"/>
        <v>1</v>
      </c>
      <c r="C22" s="57" t="s">
        <v>49</v>
      </c>
      <c r="D22" s="57">
        <v>1</v>
      </c>
      <c r="E22" s="76" t="s">
        <v>160</v>
      </c>
      <c r="F22" s="77"/>
      <c r="G22" s="99">
        <v>15</v>
      </c>
      <c r="H22" s="61">
        <f t="shared" si="0"/>
        <v>0</v>
      </c>
      <c r="I22" s="57" t="str">
        <f t="shared" si="1"/>
        <v> </v>
      </c>
      <c r="J22" s="57"/>
      <c r="K22" s="70"/>
      <c r="L22" s="73"/>
      <c r="M22" s="71"/>
      <c r="N22" s="71"/>
      <c r="O22" s="72"/>
      <c r="P22" s="72"/>
      <c r="Q22" s="72"/>
    </row>
    <row r="23" spans="1:17" ht="12.75">
      <c r="A23" s="102">
        <f>A21/2</f>
        <v>0.375</v>
      </c>
      <c r="B23" s="69">
        <f t="shared" si="2"/>
        <v>12</v>
      </c>
      <c r="C23" s="57" t="s">
        <v>134</v>
      </c>
      <c r="D23" s="57">
        <v>1</v>
      </c>
      <c r="E23" s="76" t="s">
        <v>166</v>
      </c>
      <c r="F23" s="77"/>
      <c r="G23" s="99">
        <v>16</v>
      </c>
      <c r="H23" s="61">
        <f t="shared" si="0"/>
        <v>0</v>
      </c>
      <c r="I23" s="57" t="str">
        <f>IF(H23&gt;0,"Miller Lite"," ")</f>
        <v> </v>
      </c>
      <c r="J23" s="57"/>
      <c r="K23" s="70"/>
      <c r="L23" s="73"/>
      <c r="M23" s="71"/>
      <c r="N23" s="71"/>
      <c r="O23" s="72"/>
      <c r="P23" s="72"/>
      <c r="Q23" s="72"/>
    </row>
    <row r="24" spans="1:17" ht="12.75">
      <c r="A24" s="102">
        <v>0.25</v>
      </c>
      <c r="B24" s="74">
        <f t="shared" si="2"/>
        <v>8</v>
      </c>
      <c r="C24" s="132" t="s">
        <v>176</v>
      </c>
      <c r="D24" s="131">
        <v>1</v>
      </c>
      <c r="E24" s="80" t="s">
        <v>161</v>
      </c>
      <c r="F24" s="81"/>
      <c r="G24" s="99">
        <v>17</v>
      </c>
      <c r="H24" s="61">
        <f t="shared" si="0"/>
        <v>0</v>
      </c>
      <c r="I24" s="72" t="str">
        <f t="shared" si="1"/>
        <v> </v>
      </c>
      <c r="J24" s="57"/>
      <c r="K24" s="70"/>
      <c r="L24" s="73"/>
      <c r="M24" s="71"/>
      <c r="N24" s="71"/>
      <c r="O24" s="72"/>
      <c r="P24" s="72"/>
      <c r="Q24" s="72"/>
    </row>
    <row r="25" spans="1:17" ht="12.75">
      <c r="A25" s="102"/>
      <c r="B25" s="70" t="s">
        <v>59</v>
      </c>
      <c r="C25" s="132" t="s">
        <v>58</v>
      </c>
      <c r="D25" s="131">
        <v>1</v>
      </c>
      <c r="E25" s="76" t="s">
        <v>18</v>
      </c>
      <c r="F25" s="8"/>
      <c r="G25" s="99">
        <v>18</v>
      </c>
      <c r="H25" s="61">
        <f t="shared" si="0"/>
        <v>0</v>
      </c>
      <c r="I25" s="72" t="str">
        <f t="shared" si="1"/>
        <v> </v>
      </c>
      <c r="J25" s="57"/>
      <c r="K25" s="87"/>
      <c r="L25" s="78"/>
      <c r="M25" s="71"/>
      <c r="N25" s="71"/>
      <c r="O25" s="72"/>
      <c r="P25" s="72"/>
      <c r="Q25" s="72"/>
    </row>
    <row r="26" spans="1:17" ht="12.75">
      <c r="A26" s="103"/>
      <c r="B26" s="65"/>
      <c r="C26" s="65"/>
      <c r="D26" s="65"/>
      <c r="E26" s="83"/>
      <c r="F26" s="84"/>
      <c r="G26" s="99">
        <v>19</v>
      </c>
      <c r="H26" s="61">
        <f t="shared" si="0"/>
        <v>0</v>
      </c>
      <c r="I26" s="72" t="str">
        <f>IF(H26&gt;0,"Yuengling Lager"," ")</f>
        <v> </v>
      </c>
      <c r="J26" s="72"/>
      <c r="K26" s="70"/>
      <c r="L26" s="73"/>
      <c r="M26" s="71"/>
      <c r="N26" s="71"/>
      <c r="O26" s="72"/>
      <c r="P26" s="72"/>
      <c r="Q26" s="72"/>
    </row>
    <row r="27" spans="1:17" ht="12.75">
      <c r="A27" s="103"/>
      <c r="B27" s="84" t="s">
        <v>12</v>
      </c>
      <c r="C27" s="145" t="s">
        <v>150</v>
      </c>
      <c r="D27" s="142" t="s">
        <v>193</v>
      </c>
      <c r="E27" s="83"/>
      <c r="F27" s="84"/>
      <c r="G27" s="99">
        <v>20</v>
      </c>
      <c r="H27" s="61">
        <f t="shared" si="0"/>
        <v>0</v>
      </c>
      <c r="I27" s="72" t="str">
        <f>IF(H27&gt;0,"Yuengling Lager"," ")</f>
        <v> </v>
      </c>
      <c r="J27" s="72"/>
      <c r="K27" s="70"/>
      <c r="L27" s="73"/>
      <c r="M27" s="71"/>
      <c r="N27" s="71"/>
      <c r="P27" s="82"/>
      <c r="Q27" s="82"/>
    </row>
    <row r="28" spans="1:17" ht="12.75">
      <c r="A28" s="102">
        <v>0.5</v>
      </c>
      <c r="B28" s="69"/>
      <c r="C28" s="129" t="s">
        <v>205</v>
      </c>
      <c r="D28" s="57"/>
      <c r="E28" s="69"/>
      <c r="F28" s="8"/>
      <c r="G28" s="99">
        <v>21</v>
      </c>
      <c r="H28" s="61">
        <f t="shared" si="0"/>
        <v>0</v>
      </c>
      <c r="I28" s="72" t="str">
        <f t="shared" si="1"/>
        <v> </v>
      </c>
      <c r="J28" s="57"/>
      <c r="K28" s="70"/>
      <c r="L28" s="73"/>
      <c r="M28" s="71"/>
      <c r="N28" s="71"/>
      <c r="P28" s="82"/>
      <c r="Q28" s="82"/>
    </row>
    <row r="29" spans="1:17" ht="12.75">
      <c r="A29" s="102">
        <f>A28</f>
        <v>0.5</v>
      </c>
      <c r="B29" s="69"/>
      <c r="C29" s="72" t="s">
        <v>236</v>
      </c>
      <c r="D29" s="57"/>
      <c r="E29" s="69"/>
      <c r="F29" s="8"/>
      <c r="G29" s="99">
        <v>22</v>
      </c>
      <c r="H29" s="61">
        <f t="shared" si="0"/>
        <v>0</v>
      </c>
      <c r="I29" s="72" t="str">
        <f t="shared" si="1"/>
        <v> </v>
      </c>
      <c r="J29" s="57"/>
      <c r="K29" s="70"/>
      <c r="L29" s="73"/>
      <c r="M29" s="71"/>
      <c r="N29" s="71"/>
      <c r="P29" s="82"/>
      <c r="Q29" s="82"/>
    </row>
    <row r="30" spans="7:17" ht="12.75">
      <c r="G30" s="99">
        <v>23</v>
      </c>
      <c r="H30" s="61">
        <f t="shared" si="0"/>
        <v>0</v>
      </c>
      <c r="I30" s="72" t="str">
        <f t="shared" si="1"/>
        <v> </v>
      </c>
      <c r="J30" s="57"/>
      <c r="K30" s="85"/>
      <c r="L30" s="73"/>
      <c r="M30" s="71"/>
      <c r="N30" s="71"/>
      <c r="P30" s="82"/>
      <c r="Q30" s="82"/>
    </row>
    <row r="31" spans="1:17" ht="12.75">
      <c r="A31" s="103">
        <v>0.4</v>
      </c>
      <c r="B31" s="79">
        <f>ROUNDUP(A31*$B$1,0)</f>
        <v>13</v>
      </c>
      <c r="C31" s="41" t="s">
        <v>228</v>
      </c>
      <c r="D31" s="14"/>
      <c r="E31" s="69" t="s">
        <v>152</v>
      </c>
      <c r="F31" s="8"/>
      <c r="G31" s="99">
        <v>24</v>
      </c>
      <c r="H31" s="61">
        <f t="shared" si="0"/>
        <v>0</v>
      </c>
      <c r="I31" s="57" t="str">
        <f>IF(H31&gt;0,"Miller Lite"," ")</f>
        <v> </v>
      </c>
      <c r="J31" s="57"/>
      <c r="K31" s="70"/>
      <c r="L31" s="73"/>
      <c r="M31" s="71"/>
      <c r="N31" s="71"/>
      <c r="P31" s="82"/>
      <c r="Q31" s="82"/>
    </row>
    <row r="32" spans="1:17" ht="12.75">
      <c r="A32" s="101">
        <v>0.1</v>
      </c>
      <c r="B32" s="79">
        <f>ROUNDUP(A32*$B$1,0)</f>
        <v>4</v>
      </c>
      <c r="C32" s="72" t="s">
        <v>219</v>
      </c>
      <c r="D32" s="14"/>
      <c r="E32" s="69"/>
      <c r="F32" s="8"/>
      <c r="G32" s="99">
        <v>25</v>
      </c>
      <c r="H32" s="61">
        <f t="shared" si="0"/>
        <v>0</v>
      </c>
      <c r="I32" s="86" t="str">
        <f t="shared" si="1"/>
        <v> </v>
      </c>
      <c r="J32" s="86"/>
      <c r="K32" s="87"/>
      <c r="L32" s="73"/>
      <c r="M32" s="71"/>
      <c r="N32" s="71"/>
      <c r="P32" s="82"/>
      <c r="Q32" s="82"/>
    </row>
    <row r="33" spans="1:17" ht="12.75">
      <c r="A33" s="101">
        <v>0.4</v>
      </c>
      <c r="B33" s="79">
        <f>ROUNDUP(A33*$B$1,0)</f>
        <v>13</v>
      </c>
      <c r="C33" s="147" t="s">
        <v>238</v>
      </c>
      <c r="D33" s="66"/>
      <c r="E33" s="69" t="s">
        <v>235</v>
      </c>
      <c r="F33" s="8"/>
      <c r="G33" s="99">
        <v>26</v>
      </c>
      <c r="H33" s="61">
        <f t="shared" si="0"/>
        <v>0</v>
      </c>
      <c r="I33" s="57"/>
      <c r="J33" s="57"/>
      <c r="K33" s="70"/>
      <c r="L33" s="73"/>
      <c r="M33" s="71"/>
      <c r="N33" s="71"/>
      <c r="P33" s="82"/>
      <c r="Q33" s="82"/>
    </row>
    <row r="34" spans="1:17" ht="12.75">
      <c r="A34" s="101"/>
      <c r="B34" s="69">
        <f>B33</f>
        <v>13</v>
      </c>
      <c r="C34" s="57" t="s">
        <v>157</v>
      </c>
      <c r="E34" s="69" t="s">
        <v>235</v>
      </c>
      <c r="F34" s="4"/>
      <c r="G34" s="99">
        <v>27</v>
      </c>
      <c r="H34" s="61">
        <f t="shared" si="0"/>
        <v>0</v>
      </c>
      <c r="I34" s="57" t="str">
        <f t="shared" si="1"/>
        <v> </v>
      </c>
      <c r="J34" s="57"/>
      <c r="K34" s="70"/>
      <c r="L34" s="73"/>
      <c r="M34" s="71"/>
      <c r="N34" s="71"/>
      <c r="P34" s="82"/>
      <c r="Q34" s="82"/>
    </row>
    <row r="35" spans="1:17" ht="12.75">
      <c r="A35" s="101"/>
      <c r="B35" s="69">
        <f>B34</f>
        <v>13</v>
      </c>
      <c r="C35" s="57" t="s">
        <v>148</v>
      </c>
      <c r="E35" s="69" t="s">
        <v>235</v>
      </c>
      <c r="F35" s="4"/>
      <c r="G35" s="99">
        <v>28</v>
      </c>
      <c r="H35" s="61">
        <f t="shared" si="0"/>
        <v>0</v>
      </c>
      <c r="I35" s="72" t="str">
        <f>IF(H35&gt;0," ADD MORE, ROB!"," ")</f>
        <v> </v>
      </c>
      <c r="J35" s="72"/>
      <c r="K35" s="70"/>
      <c r="L35" s="77"/>
      <c r="M35" s="71"/>
      <c r="N35" s="71"/>
      <c r="P35" s="82"/>
      <c r="Q35" s="82" t="str">
        <f>IF(AND(I35="Yuengling Lager",NOT(M35="x")),"YL",IF(AND(I35="Miller Lite",NOT(M35="X")),"ML",IF(AND(I35="Yuengling Black &amp; Tan",NOT(M35="X")),"YBT",IF((M35=" "),"Other"," "))))</f>
        <v> </v>
      </c>
    </row>
    <row r="36" spans="1:13" ht="12.75">
      <c r="A36" s="102">
        <f>3/50</f>
        <v>0.06</v>
      </c>
      <c r="B36" s="69">
        <f>ROUNDUP(A36*'Equipment list'!$B$1,0)</f>
        <v>2</v>
      </c>
      <c r="C36" s="57" t="s">
        <v>103</v>
      </c>
      <c r="D36" s="57"/>
      <c r="E36" s="70" t="s">
        <v>237</v>
      </c>
      <c r="F36" s="88"/>
      <c r="G36" s="101">
        <v>0.025</v>
      </c>
      <c r="H36" s="71">
        <f>ROUNDUP(G36*$B$1,0.1)</f>
        <v>1</v>
      </c>
      <c r="I36" s="57" t="s">
        <v>19</v>
      </c>
      <c r="J36" s="57"/>
      <c r="K36" s="138" t="s">
        <v>18</v>
      </c>
      <c r="L36" s="77"/>
      <c r="M36" s="71"/>
    </row>
    <row r="37" spans="1:13" ht="12.75">
      <c r="A37" s="102">
        <f>1/60</f>
        <v>0.016666666666666666</v>
      </c>
      <c r="B37" s="69">
        <f>ROUNDUP(A37*'Equipment list'!$B$1,0)</f>
        <v>1</v>
      </c>
      <c r="C37" s="57" t="s">
        <v>170</v>
      </c>
      <c r="D37" s="57"/>
      <c r="E37" s="69" t="s">
        <v>152</v>
      </c>
      <c r="F37" s="8"/>
      <c r="G37" s="101">
        <v>0.025</v>
      </c>
      <c r="H37" s="71">
        <f>ROUNDUP(G37*$B$1,0)</f>
        <v>1</v>
      </c>
      <c r="I37" s="57" t="s">
        <v>23</v>
      </c>
      <c r="J37" s="57"/>
      <c r="K37" s="138" t="s">
        <v>18</v>
      </c>
      <c r="L37" s="77"/>
      <c r="M37" s="71"/>
    </row>
    <row r="38" spans="1:13" ht="12.75">
      <c r="A38" s="101"/>
      <c r="B38" s="69">
        <f>B37</f>
        <v>1</v>
      </c>
      <c r="C38" s="89" t="s">
        <v>177</v>
      </c>
      <c r="D38" s="68">
        <v>2</v>
      </c>
      <c r="E38" s="59" t="s">
        <v>152</v>
      </c>
      <c r="F38" s="8"/>
      <c r="G38" s="101">
        <v>0.025</v>
      </c>
      <c r="H38" s="71">
        <f>ROUNDUP(G38*$B$1,0)</f>
        <v>1</v>
      </c>
      <c r="I38" s="57" t="s">
        <v>154</v>
      </c>
      <c r="J38" s="57"/>
      <c r="K38" s="138" t="s">
        <v>18</v>
      </c>
      <c r="L38" s="77"/>
      <c r="M38" s="71"/>
    </row>
    <row r="39" spans="1:13" ht="12.75">
      <c r="A39" s="101">
        <f>1/50</f>
        <v>0.02</v>
      </c>
      <c r="B39" s="69">
        <f>ROUNDUP(A39*$B$1,0)</f>
        <v>1</v>
      </c>
      <c r="C39" s="57" t="s">
        <v>181</v>
      </c>
      <c r="D39" s="57"/>
      <c r="E39" s="69" t="s">
        <v>212</v>
      </c>
      <c r="F39" s="8"/>
      <c r="G39" s="101">
        <v>0.025</v>
      </c>
      <c r="H39" s="71">
        <f>ROUNDUP(G39*$B$1,0)</f>
        <v>1</v>
      </c>
      <c r="I39" s="57" t="s">
        <v>99</v>
      </c>
      <c r="J39" s="57"/>
      <c r="K39" s="69" t="s">
        <v>240</v>
      </c>
      <c r="L39" s="77"/>
      <c r="M39" s="71"/>
    </row>
    <row r="40" spans="1:12" ht="12.75">
      <c r="A40" s="101">
        <f>1/50</f>
        <v>0.02</v>
      </c>
      <c r="B40" s="69">
        <f>ROUNDUP(A40*$B$1,0)</f>
        <v>1</v>
      </c>
      <c r="C40" s="57" t="s">
        <v>41</v>
      </c>
      <c r="E40" s="69" t="s">
        <v>18</v>
      </c>
      <c r="F40" s="77"/>
      <c r="G40" s="99"/>
      <c r="L40" s="38"/>
    </row>
    <row r="41" spans="1:12" ht="12.75">
      <c r="A41" s="101">
        <f>1/50</f>
        <v>0.02</v>
      </c>
      <c r="B41" s="69">
        <f>ROUNDUP(A41*$B$1,0)</f>
        <v>1</v>
      </c>
      <c r="C41" s="57" t="s">
        <v>42</v>
      </c>
      <c r="E41" s="69" t="s">
        <v>18</v>
      </c>
      <c r="F41" s="77"/>
      <c r="G41" s="99"/>
      <c r="H41" s="62" t="s">
        <v>12</v>
      </c>
      <c r="I41" s="143" t="s">
        <v>27</v>
      </c>
      <c r="J41" s="144" t="s">
        <v>193</v>
      </c>
      <c r="K41" s="65"/>
      <c r="L41" s="38"/>
    </row>
    <row r="42" spans="1:12" ht="12.75">
      <c r="A42" s="99"/>
      <c r="G42" s="99">
        <f>0.05</f>
        <v>0.05</v>
      </c>
      <c r="H42" s="71">
        <f>ROUNDUP(G42*$B$1,0)</f>
        <v>2</v>
      </c>
      <c r="I42" s="107" t="s">
        <v>215</v>
      </c>
      <c r="J42" s="130"/>
      <c r="K42" s="69"/>
      <c r="L42" s="77"/>
    </row>
    <row r="43" spans="1:12" ht="12.75">
      <c r="A43" s="99"/>
      <c r="G43" s="99"/>
      <c r="H43" s="71">
        <v>1</v>
      </c>
      <c r="I43" s="89" t="s">
        <v>147</v>
      </c>
      <c r="J43" s="130"/>
      <c r="K43" s="69" t="s">
        <v>210</v>
      </c>
      <c r="L43" s="77"/>
    </row>
    <row r="44" spans="1:12" ht="12.75">
      <c r="A44" s="100" t="s">
        <v>11</v>
      </c>
      <c r="B44" s="64" t="s">
        <v>12</v>
      </c>
      <c r="C44" s="143" t="s">
        <v>216</v>
      </c>
      <c r="D44" s="142" t="s">
        <v>193</v>
      </c>
      <c r="G44" s="99"/>
      <c r="H44" s="71">
        <v>1</v>
      </c>
      <c r="I44" s="89" t="s">
        <v>220</v>
      </c>
      <c r="J44" s="130"/>
      <c r="K44" s="70" t="s">
        <v>222</v>
      </c>
      <c r="L44" s="77"/>
    </row>
    <row r="45" spans="1:12" ht="12.75">
      <c r="A45" s="102"/>
      <c r="B45" s="69"/>
      <c r="C45" s="129" t="s">
        <v>205</v>
      </c>
      <c r="D45" s="57"/>
      <c r="E45" s="69"/>
      <c r="F45" s="88"/>
      <c r="G45" s="99"/>
      <c r="H45" s="71">
        <v>1</v>
      </c>
      <c r="I45" s="89" t="s">
        <v>221</v>
      </c>
      <c r="J45" s="130"/>
      <c r="K45" s="70" t="s">
        <v>222</v>
      </c>
      <c r="L45" s="77"/>
    </row>
    <row r="46" spans="1:12" ht="12.75">
      <c r="A46" s="102"/>
      <c r="B46" s="69">
        <v>1</v>
      </c>
      <c r="C46" s="57" t="s">
        <v>178</v>
      </c>
      <c r="D46" s="57"/>
      <c r="E46" s="69" t="s">
        <v>211</v>
      </c>
      <c r="F46" s="88"/>
      <c r="G46" s="99"/>
      <c r="H46" s="71" t="s">
        <v>28</v>
      </c>
      <c r="I46" s="57" t="s">
        <v>191</v>
      </c>
      <c r="J46" s="57"/>
      <c r="K46" s="70" t="s">
        <v>239</v>
      </c>
      <c r="L46" s="77"/>
    </row>
    <row r="47" spans="1:12" ht="12.75">
      <c r="A47" s="102"/>
      <c r="B47" s="69">
        <v>1</v>
      </c>
      <c r="C47" s="57" t="s">
        <v>230</v>
      </c>
      <c r="D47" s="57"/>
      <c r="E47" s="69" t="s">
        <v>18</v>
      </c>
      <c r="F47" s="88"/>
      <c r="G47" s="99"/>
      <c r="H47" s="71" t="s">
        <v>28</v>
      </c>
      <c r="I47" s="57" t="s">
        <v>35</v>
      </c>
      <c r="J47" s="57">
        <v>2</v>
      </c>
      <c r="K47" s="90" t="s">
        <v>167</v>
      </c>
      <c r="L47" s="77"/>
    </row>
    <row r="48" spans="1:7" ht="12.75">
      <c r="A48" s="102">
        <f>1/30</f>
        <v>0.03333333333333333</v>
      </c>
      <c r="B48" s="69">
        <f>ROUNDUP(A48*$B$1,0)</f>
        <v>2</v>
      </c>
      <c r="C48" s="139" t="s">
        <v>192</v>
      </c>
      <c r="D48" s="58"/>
      <c r="E48" s="70"/>
      <c r="F48" s="8"/>
      <c r="G48" s="99"/>
    </row>
    <row r="49" spans="1:10" ht="12.75">
      <c r="A49" s="102"/>
      <c r="B49" s="69">
        <v>1</v>
      </c>
      <c r="C49" s="41" t="s">
        <v>224</v>
      </c>
      <c r="E49" s="69" t="s">
        <v>18</v>
      </c>
      <c r="F49" s="8"/>
      <c r="G49" s="99"/>
      <c r="H49" s="62" t="s">
        <v>12</v>
      </c>
      <c r="I49" s="143" t="s">
        <v>24</v>
      </c>
      <c r="J49" s="142" t="s">
        <v>193</v>
      </c>
    </row>
    <row r="50" spans="1:12" ht="12.75">
      <c r="A50" s="102">
        <f>2/30</f>
        <v>0.06666666666666667</v>
      </c>
      <c r="B50" s="41">
        <v>1</v>
      </c>
      <c r="C50" s="41" t="s">
        <v>217</v>
      </c>
      <c r="E50" s="69" t="s">
        <v>69</v>
      </c>
      <c r="F50" s="8"/>
      <c r="G50" s="102">
        <f>1/40</f>
        <v>0.025</v>
      </c>
      <c r="H50" s="69">
        <f>ROUNDUP(G50*$B$1,0)</f>
        <v>1</v>
      </c>
      <c r="I50" s="41" t="s">
        <v>106</v>
      </c>
      <c r="K50" s="69" t="s">
        <v>69</v>
      </c>
      <c r="L50" s="77"/>
    </row>
    <row r="51" spans="1:12" ht="12.75">
      <c r="A51" s="102"/>
      <c r="B51" s="68">
        <v>5</v>
      </c>
      <c r="C51" s="89" t="s">
        <v>225</v>
      </c>
      <c r="E51" s="69" t="s">
        <v>18</v>
      </c>
      <c r="F51" s="88"/>
      <c r="G51" s="102">
        <f>1/40</f>
        <v>0.025</v>
      </c>
      <c r="H51" s="69">
        <f>ROUNDUP(G51*$B$1,0)</f>
        <v>1</v>
      </c>
      <c r="I51" s="41" t="s">
        <v>105</v>
      </c>
      <c r="K51" s="69" t="s">
        <v>69</v>
      </c>
      <c r="L51" s="77"/>
    </row>
    <row r="52" spans="3:12" ht="12.75">
      <c r="C52" s="107" t="s">
        <v>218</v>
      </c>
      <c r="E52" s="69"/>
      <c r="F52" s="8"/>
      <c r="G52" s="106"/>
      <c r="H52" s="71">
        <f>$H$50</f>
        <v>1</v>
      </c>
      <c r="I52" s="41" t="s">
        <v>40</v>
      </c>
      <c r="K52" s="69" t="s">
        <v>69</v>
      </c>
      <c r="L52" s="77"/>
    </row>
    <row r="53" spans="1:12" ht="12.75">
      <c r="A53" s="102"/>
      <c r="B53" s="69">
        <v>5</v>
      </c>
      <c r="C53" s="89" t="s">
        <v>226</v>
      </c>
      <c r="D53" s="57"/>
      <c r="E53" s="69" t="s">
        <v>18</v>
      </c>
      <c r="F53" s="88"/>
      <c r="G53" s="106"/>
      <c r="H53" s="71">
        <f>$H$50</f>
        <v>1</v>
      </c>
      <c r="I53" s="41" t="s">
        <v>16</v>
      </c>
      <c r="K53" s="69" t="s">
        <v>69</v>
      </c>
      <c r="L53" s="77"/>
    </row>
    <row r="54" spans="1:12" ht="12.75">
      <c r="A54" s="102"/>
      <c r="B54" s="69">
        <v>1</v>
      </c>
      <c r="C54" s="57" t="s">
        <v>122</v>
      </c>
      <c r="D54" s="57"/>
      <c r="E54" s="69" t="s">
        <v>18</v>
      </c>
      <c r="F54" s="88"/>
      <c r="G54" s="106"/>
      <c r="H54" s="71">
        <f>$H$50</f>
        <v>1</v>
      </c>
      <c r="I54" s="41" t="s">
        <v>17</v>
      </c>
      <c r="K54" s="69" t="s">
        <v>69</v>
      </c>
      <c r="L54" s="77"/>
    </row>
    <row r="55" spans="1:12" ht="12.75">
      <c r="A55" s="102"/>
      <c r="B55" s="69">
        <v>1</v>
      </c>
      <c r="C55" s="57" t="s">
        <v>199</v>
      </c>
      <c r="D55" s="57">
        <v>2</v>
      </c>
      <c r="E55" s="69" t="s">
        <v>18</v>
      </c>
      <c r="F55" s="88"/>
      <c r="G55" s="106"/>
      <c r="H55" s="71">
        <f>$H$50</f>
        <v>1</v>
      </c>
      <c r="I55" s="41" t="s">
        <v>38</v>
      </c>
      <c r="K55" s="69" t="s">
        <v>69</v>
      </c>
      <c r="L55" s="77"/>
    </row>
    <row r="56" spans="1:12" ht="12.75">
      <c r="A56" s="102">
        <f>2/30</f>
        <v>0.06666666666666667</v>
      </c>
      <c r="B56" s="69">
        <f>ROUNDUP(A56*$B$1,0)</f>
        <v>3</v>
      </c>
      <c r="C56" s="57" t="s">
        <v>169</v>
      </c>
      <c r="D56" s="57"/>
      <c r="E56" s="69" t="s">
        <v>18</v>
      </c>
      <c r="F56" s="88"/>
      <c r="G56" s="106"/>
      <c r="H56" s="71">
        <v>1</v>
      </c>
      <c r="I56" s="57" t="s">
        <v>172</v>
      </c>
      <c r="K56" s="69" t="s">
        <v>69</v>
      </c>
      <c r="L56" s="77"/>
    </row>
    <row r="57" spans="1:12" ht="12.75">
      <c r="A57" s="102">
        <f>0.5</f>
        <v>0.5</v>
      </c>
      <c r="B57" s="69">
        <f>ROUNDUP(A57*$B$1,0)</f>
        <v>16</v>
      </c>
      <c r="C57" s="57" t="s">
        <v>168</v>
      </c>
      <c r="D57" s="57"/>
      <c r="E57" s="69" t="s">
        <v>80</v>
      </c>
      <c r="F57" s="88"/>
      <c r="G57" s="106"/>
      <c r="H57" s="71">
        <v>1</v>
      </c>
      <c r="I57" s="57" t="s">
        <v>34</v>
      </c>
      <c r="J57" s="57"/>
      <c r="K57" s="69" t="s">
        <v>69</v>
      </c>
      <c r="L57" s="77"/>
    </row>
    <row r="58" spans="1:12" ht="12.75">
      <c r="A58" s="101"/>
      <c r="B58" s="69">
        <f>2+B46+B54</f>
        <v>4</v>
      </c>
      <c r="C58" s="57" t="s">
        <v>179</v>
      </c>
      <c r="D58" s="57">
        <v>2</v>
      </c>
      <c r="E58" s="69" t="s">
        <v>80</v>
      </c>
      <c r="F58" s="8"/>
      <c r="G58" s="106"/>
      <c r="H58" s="71">
        <v>1</v>
      </c>
      <c r="I58" s="41" t="s">
        <v>15</v>
      </c>
      <c r="K58" s="69" t="s">
        <v>18</v>
      </c>
      <c r="L58" s="77"/>
    </row>
    <row r="59" spans="1:7" ht="12.75">
      <c r="A59" s="101"/>
      <c r="B59" s="69" t="s">
        <v>77</v>
      </c>
      <c r="C59" s="3" t="s">
        <v>3</v>
      </c>
      <c r="D59" s="3"/>
      <c r="E59" s="69" t="s">
        <v>74</v>
      </c>
      <c r="F59" s="8"/>
      <c r="G59" s="106"/>
    </row>
    <row r="60" spans="1:12" ht="12.75">
      <c r="A60" s="99"/>
      <c r="G60" s="106"/>
      <c r="H60" s="62" t="s">
        <v>12</v>
      </c>
      <c r="I60" s="143" t="s">
        <v>75</v>
      </c>
      <c r="J60" s="142" t="s">
        <v>193</v>
      </c>
      <c r="K60" s="3"/>
      <c r="L60" s="111"/>
    </row>
    <row r="61" spans="1:12" ht="12.75">
      <c r="A61" s="100" t="s">
        <v>11</v>
      </c>
      <c r="B61" s="64" t="s">
        <v>12</v>
      </c>
      <c r="C61" s="143" t="s">
        <v>48</v>
      </c>
      <c r="D61" s="142" t="s">
        <v>193</v>
      </c>
      <c r="G61" s="106"/>
      <c r="H61" s="71">
        <v>1</v>
      </c>
      <c r="I61" s="41" t="s">
        <v>96</v>
      </c>
      <c r="K61" s="69" t="s">
        <v>80</v>
      </c>
      <c r="L61" s="77"/>
    </row>
    <row r="62" spans="1:12" ht="12.75">
      <c r="A62" s="150">
        <v>1</v>
      </c>
      <c r="B62" s="151">
        <v>1</v>
      </c>
      <c r="C62" s="40" t="s">
        <v>138</v>
      </c>
      <c r="D62" s="40"/>
      <c r="E62" s="153" t="s">
        <v>73</v>
      </c>
      <c r="F62" s="153"/>
      <c r="G62" s="106"/>
      <c r="H62" s="71" t="s">
        <v>30</v>
      </c>
      <c r="I62" s="41" t="s">
        <v>97</v>
      </c>
      <c r="K62" s="69" t="s">
        <v>80</v>
      </c>
      <c r="L62" s="77"/>
    </row>
    <row r="63" spans="1:12" ht="12.75">
      <c r="A63" s="150"/>
      <c r="B63" s="152"/>
      <c r="C63" s="40" t="s">
        <v>151</v>
      </c>
      <c r="D63" s="40"/>
      <c r="E63" s="154"/>
      <c r="F63" s="154"/>
      <c r="G63" s="106"/>
      <c r="H63" s="71">
        <v>1</v>
      </c>
      <c r="I63" s="41" t="s">
        <v>125</v>
      </c>
      <c r="K63" s="69" t="s">
        <v>80</v>
      </c>
      <c r="L63" s="77"/>
    </row>
    <row r="64" spans="1:12" ht="12.75">
      <c r="A64" s="104"/>
      <c r="B64" s="91">
        <v>1</v>
      </c>
      <c r="C64" s="14" t="s">
        <v>207</v>
      </c>
      <c r="D64" s="14"/>
      <c r="E64" s="69" t="s">
        <v>73</v>
      </c>
      <c r="F64" s="92"/>
      <c r="G64" s="106"/>
      <c r="H64" s="71">
        <v>1</v>
      </c>
      <c r="I64" s="41" t="s">
        <v>37</v>
      </c>
      <c r="K64" s="69" t="s">
        <v>80</v>
      </c>
      <c r="L64" s="77"/>
    </row>
    <row r="65" spans="1:12" ht="12.75">
      <c r="A65" s="104"/>
      <c r="B65" s="91">
        <v>1</v>
      </c>
      <c r="C65" s="135" t="s">
        <v>232</v>
      </c>
      <c r="D65" s="14"/>
      <c r="E65" s="69" t="s">
        <v>152</v>
      </c>
      <c r="F65" s="92"/>
      <c r="G65" s="106"/>
      <c r="H65" s="71">
        <v>1</v>
      </c>
      <c r="I65" s="41" t="s">
        <v>31</v>
      </c>
      <c r="K65" s="69" t="s">
        <v>80</v>
      </c>
      <c r="L65" s="77"/>
    </row>
    <row r="66" spans="1:12" ht="12.75">
      <c r="A66" s="104"/>
      <c r="B66" s="91">
        <v>1</v>
      </c>
      <c r="C66" s="135" t="s">
        <v>208</v>
      </c>
      <c r="D66" s="14"/>
      <c r="E66" s="93" t="s">
        <v>233</v>
      </c>
      <c r="F66" s="92"/>
      <c r="G66" s="106"/>
      <c r="H66" s="71">
        <v>1</v>
      </c>
      <c r="I66" s="41" t="s">
        <v>32</v>
      </c>
      <c r="K66" s="69" t="s">
        <v>80</v>
      </c>
      <c r="L66" s="77"/>
    </row>
    <row r="67" spans="1:12" ht="12.75">
      <c r="A67" s="104"/>
      <c r="B67" s="91">
        <v>1</v>
      </c>
      <c r="C67" s="135" t="s">
        <v>208</v>
      </c>
      <c r="D67" s="56"/>
      <c r="E67" s="137" t="s">
        <v>233</v>
      </c>
      <c r="F67" s="92"/>
      <c r="G67" s="106"/>
      <c r="H67" s="71">
        <v>1</v>
      </c>
      <c r="I67" s="41" t="s">
        <v>16</v>
      </c>
      <c r="K67" s="69" t="s">
        <v>80</v>
      </c>
      <c r="L67" s="77"/>
    </row>
    <row r="68" spans="1:12" ht="12.75">
      <c r="A68" s="104"/>
      <c r="B68" s="91">
        <v>1</v>
      </c>
      <c r="C68" s="135" t="s">
        <v>208</v>
      </c>
      <c r="D68" s="56"/>
      <c r="E68" s="137" t="s">
        <v>18</v>
      </c>
      <c r="F68" s="92"/>
      <c r="G68" s="106"/>
      <c r="H68" s="71">
        <v>1</v>
      </c>
      <c r="I68" s="41" t="s">
        <v>36</v>
      </c>
      <c r="K68" s="69" t="s">
        <v>80</v>
      </c>
      <c r="L68" s="77"/>
    </row>
    <row r="69" spans="1:12" ht="12.75">
      <c r="A69" s="102">
        <f>1/60</f>
        <v>0.016666666666666666</v>
      </c>
      <c r="B69" s="69">
        <f>ROUNDUP(A69*$B$1,0)</f>
        <v>1</v>
      </c>
      <c r="C69" s="57" t="s">
        <v>56</v>
      </c>
      <c r="D69" s="72"/>
      <c r="E69" s="10" t="s">
        <v>233</v>
      </c>
      <c r="F69" s="8"/>
      <c r="G69" s="106"/>
      <c r="H69" s="71">
        <v>1</v>
      </c>
      <c r="I69" s="41" t="s">
        <v>81</v>
      </c>
      <c r="J69" s="41">
        <v>2</v>
      </c>
      <c r="K69" s="69" t="s">
        <v>80</v>
      </c>
      <c r="L69" s="77"/>
    </row>
    <row r="70" spans="1:12" ht="12.75">
      <c r="A70" s="102">
        <f>1/30</f>
        <v>0.03333333333333333</v>
      </c>
      <c r="B70" s="69">
        <f>ROUNDUP(A70*$B$1,0)</f>
        <v>2</v>
      </c>
      <c r="C70" s="57" t="s">
        <v>52</v>
      </c>
      <c r="D70" s="72"/>
      <c r="E70" s="10" t="s">
        <v>234</v>
      </c>
      <c r="F70" s="8"/>
      <c r="G70" s="106"/>
      <c r="H70" s="71">
        <v>1</v>
      </c>
      <c r="I70" s="57" t="s">
        <v>67</v>
      </c>
      <c r="J70" s="57"/>
      <c r="K70" s="69" t="s">
        <v>80</v>
      </c>
      <c r="L70" s="77"/>
    </row>
    <row r="71" spans="1:12" ht="12.75">
      <c r="A71" s="99"/>
      <c r="B71" s="65"/>
      <c r="E71" s="65"/>
      <c r="F71" s="84"/>
      <c r="G71" s="106"/>
      <c r="H71" s="71">
        <v>1</v>
      </c>
      <c r="I71" s="41" t="s">
        <v>98</v>
      </c>
      <c r="K71" s="69" t="s">
        <v>18</v>
      </c>
      <c r="L71" s="77" t="s">
        <v>78</v>
      </c>
    </row>
    <row r="72" spans="1:7" ht="12.75">
      <c r="A72" s="100" t="s">
        <v>11</v>
      </c>
      <c r="B72" s="64" t="s">
        <v>12</v>
      </c>
      <c r="C72" s="143" t="s">
        <v>14</v>
      </c>
      <c r="D72" s="142" t="s">
        <v>193</v>
      </c>
      <c r="E72" s="64"/>
      <c r="G72" s="106"/>
    </row>
    <row r="73" spans="1:10" ht="12.75">
      <c r="A73" s="102">
        <f>7/30</f>
        <v>0.23333333333333334</v>
      </c>
      <c r="B73" s="69">
        <f>ROUNDUP(A73*$B$1,0)</f>
        <v>8</v>
      </c>
      <c r="C73" s="41" t="str">
        <f>IF(B73&gt;0,"cooler with ice"," ")</f>
        <v>cooler with ice</v>
      </c>
      <c r="E73" s="13" t="s">
        <v>18</v>
      </c>
      <c r="F73" s="8"/>
      <c r="G73" s="106"/>
      <c r="H73" s="62" t="s">
        <v>12</v>
      </c>
      <c r="I73" s="143" t="s">
        <v>25</v>
      </c>
      <c r="J73" s="142" t="s">
        <v>193</v>
      </c>
    </row>
    <row r="74" spans="1:12" ht="12.75">
      <c r="A74" s="99">
        <v>1</v>
      </c>
      <c r="B74" s="41">
        <f>IF($B$73&gt;A74,1,0)</f>
        <v>1</v>
      </c>
      <c r="C74" s="41" t="str">
        <f aca="true" t="shared" si="3" ref="C74:C85">IF(B74&gt;0,"cooler with ice"," ")</f>
        <v>cooler with ice</v>
      </c>
      <c r="E74" s="13" t="s">
        <v>18</v>
      </c>
      <c r="F74" s="8"/>
      <c r="G74" s="106"/>
      <c r="H74" s="71">
        <v>1</v>
      </c>
      <c r="I74" s="41" t="s">
        <v>93</v>
      </c>
      <c r="K74" s="69" t="s">
        <v>69</v>
      </c>
      <c r="L74" s="112"/>
    </row>
    <row r="75" spans="1:12" ht="12.75">
      <c r="A75" s="99">
        <v>2</v>
      </c>
      <c r="B75" s="41">
        <f aca="true" t="shared" si="4" ref="B75:B84">IF($B$73&gt;A75,1,0)</f>
        <v>1</v>
      </c>
      <c r="C75" s="41" t="str">
        <f t="shared" si="3"/>
        <v>cooler with ice</v>
      </c>
      <c r="E75" s="71" t="s">
        <v>69</v>
      </c>
      <c r="F75" s="8"/>
      <c r="G75" s="106"/>
      <c r="H75" s="71">
        <v>1</v>
      </c>
      <c r="I75" s="41" t="s">
        <v>124</v>
      </c>
      <c r="K75" s="69" t="s">
        <v>69</v>
      </c>
      <c r="L75" s="112"/>
    </row>
    <row r="76" spans="1:12" ht="12.75">
      <c r="A76" s="99">
        <v>3</v>
      </c>
      <c r="B76" s="41">
        <f t="shared" si="4"/>
        <v>1</v>
      </c>
      <c r="C76" s="41" t="str">
        <f t="shared" si="3"/>
        <v>cooler with ice</v>
      </c>
      <c r="E76" s="71" t="s">
        <v>69</v>
      </c>
      <c r="F76" s="8"/>
      <c r="G76" s="106"/>
      <c r="H76" s="71" t="s">
        <v>59</v>
      </c>
      <c r="I76" s="41" t="s">
        <v>155</v>
      </c>
      <c r="K76" s="69" t="s">
        <v>73</v>
      </c>
      <c r="L76" s="77"/>
    </row>
    <row r="77" spans="1:12" ht="12.75">
      <c r="A77" s="99">
        <v>4</v>
      </c>
      <c r="B77" s="41">
        <f t="shared" si="4"/>
        <v>1</v>
      </c>
      <c r="C77" s="41" t="str">
        <f t="shared" si="3"/>
        <v>cooler with ice</v>
      </c>
      <c r="E77" s="69" t="s">
        <v>80</v>
      </c>
      <c r="F77" s="8"/>
      <c r="G77" s="106"/>
      <c r="H77" s="71">
        <v>1</v>
      </c>
      <c r="I77" s="41" t="s">
        <v>39</v>
      </c>
      <c r="J77" s="41">
        <v>1</v>
      </c>
      <c r="K77" s="71" t="s">
        <v>18</v>
      </c>
      <c r="L77" s="77"/>
    </row>
    <row r="78" spans="1:12" ht="12.75">
      <c r="A78" s="99">
        <v>5</v>
      </c>
      <c r="B78" s="41">
        <f t="shared" si="4"/>
        <v>1</v>
      </c>
      <c r="C78" s="57" t="str">
        <f t="shared" si="3"/>
        <v>cooler with ice</v>
      </c>
      <c r="E78" s="69" t="s">
        <v>73</v>
      </c>
      <c r="F78" s="8"/>
      <c r="G78" s="106"/>
      <c r="H78" s="71">
        <v>1</v>
      </c>
      <c r="I78" s="41" t="s">
        <v>123</v>
      </c>
      <c r="J78" s="41">
        <v>1</v>
      </c>
      <c r="K78" s="69" t="s">
        <v>18</v>
      </c>
      <c r="L78" s="77"/>
    </row>
    <row r="79" spans="1:12" ht="12.75">
      <c r="A79" s="99">
        <v>6</v>
      </c>
      <c r="B79" s="41">
        <f t="shared" si="4"/>
        <v>1</v>
      </c>
      <c r="C79" s="72" t="str">
        <f t="shared" si="3"/>
        <v>cooler with ice</v>
      </c>
      <c r="E79" s="70"/>
      <c r="F79" s="8"/>
      <c r="G79" s="106"/>
      <c r="H79" s="71">
        <v>1</v>
      </c>
      <c r="I79" s="57" t="s">
        <v>65</v>
      </c>
      <c r="J79" s="57"/>
      <c r="K79" s="94" t="s">
        <v>68</v>
      </c>
      <c r="L79" s="77"/>
    </row>
    <row r="80" spans="1:12" ht="12.75">
      <c r="A80" s="99">
        <v>7</v>
      </c>
      <c r="B80" s="41">
        <f t="shared" si="4"/>
        <v>1</v>
      </c>
      <c r="C80" s="72" t="str">
        <f t="shared" si="3"/>
        <v>cooler with ice</v>
      </c>
      <c r="D80" s="57"/>
      <c r="E80" s="70"/>
      <c r="F80" s="8"/>
      <c r="G80" s="106"/>
      <c r="H80" s="71">
        <v>2</v>
      </c>
      <c r="I80" s="41" t="s">
        <v>95</v>
      </c>
      <c r="J80" s="41">
        <v>1</v>
      </c>
      <c r="K80" s="76" t="s">
        <v>76</v>
      </c>
      <c r="L80" s="77"/>
    </row>
    <row r="81" spans="1:12" ht="12.75">
      <c r="A81" s="99">
        <v>8</v>
      </c>
      <c r="B81" s="41">
        <f t="shared" si="4"/>
        <v>0</v>
      </c>
      <c r="C81" s="72" t="str">
        <f t="shared" si="3"/>
        <v> </v>
      </c>
      <c r="D81" s="72"/>
      <c r="E81" s="10"/>
      <c r="F81" s="8"/>
      <c r="G81" s="106"/>
      <c r="H81" s="71">
        <f>3*$B$1+15</f>
        <v>108</v>
      </c>
      <c r="I81" s="57" t="s">
        <v>127</v>
      </c>
      <c r="J81" s="57">
        <v>2</v>
      </c>
      <c r="K81" s="76" t="s">
        <v>167</v>
      </c>
      <c r="L81" s="77"/>
    </row>
    <row r="82" spans="1:12" ht="12.75">
      <c r="A82" s="99">
        <v>9</v>
      </c>
      <c r="B82" s="41">
        <f t="shared" si="4"/>
        <v>0</v>
      </c>
      <c r="C82" s="72" t="str">
        <f t="shared" si="3"/>
        <v> </v>
      </c>
      <c r="D82" s="72"/>
      <c r="E82" s="10"/>
      <c r="F82" s="8"/>
      <c r="G82" s="106"/>
      <c r="H82" s="71">
        <f>$B$1*2</f>
        <v>62</v>
      </c>
      <c r="I82" s="57" t="s">
        <v>8</v>
      </c>
      <c r="J82" s="57">
        <v>2</v>
      </c>
      <c r="K82" s="59" t="s">
        <v>240</v>
      </c>
      <c r="L82" s="77"/>
    </row>
    <row r="83" spans="1:12" ht="12.75">
      <c r="A83" s="99">
        <v>10</v>
      </c>
      <c r="B83" s="41">
        <f>IF($B$73&gt;A83,1,0)</f>
        <v>0</v>
      </c>
      <c r="C83" s="72" t="str">
        <f t="shared" si="3"/>
        <v> </v>
      </c>
      <c r="D83" s="72"/>
      <c r="E83" s="10"/>
      <c r="F83" s="8"/>
      <c r="G83" s="106"/>
      <c r="H83" s="71">
        <f>$B$1*3</f>
        <v>93</v>
      </c>
      <c r="I83" s="57" t="s">
        <v>9</v>
      </c>
      <c r="J83" s="57">
        <v>2</v>
      </c>
      <c r="K83" s="136" t="s">
        <v>18</v>
      </c>
      <c r="L83" s="77"/>
    </row>
    <row r="84" spans="1:12" ht="12.75">
      <c r="A84" s="99">
        <v>11</v>
      </c>
      <c r="B84" s="41">
        <f t="shared" si="4"/>
        <v>0</v>
      </c>
      <c r="C84" s="41" t="str">
        <f t="shared" si="3"/>
        <v> </v>
      </c>
      <c r="E84" s="10"/>
      <c r="F84" s="8"/>
      <c r="G84" s="107"/>
      <c r="H84" s="71">
        <f>H83</f>
        <v>93</v>
      </c>
      <c r="I84" s="57" t="s">
        <v>10</v>
      </c>
      <c r="J84" s="57">
        <v>2</v>
      </c>
      <c r="K84" s="136" t="s">
        <v>18</v>
      </c>
      <c r="L84" s="77"/>
    </row>
    <row r="85" spans="1:12" ht="12.75">
      <c r="A85" s="99">
        <v>12</v>
      </c>
      <c r="B85" s="41">
        <f>IF($B$73&gt;A85,1,0)</f>
        <v>0</v>
      </c>
      <c r="C85" s="41" t="str">
        <f t="shared" si="3"/>
        <v> </v>
      </c>
      <c r="E85" s="10"/>
      <c r="F85" s="67"/>
      <c r="G85" s="107"/>
      <c r="H85" s="71">
        <f>H83</f>
        <v>93</v>
      </c>
      <c r="I85" s="57" t="s">
        <v>33</v>
      </c>
      <c r="J85" s="57">
        <v>2</v>
      </c>
      <c r="K85" s="136" t="s">
        <v>18</v>
      </c>
      <c r="L85" s="77"/>
    </row>
    <row r="86" spans="1:12" ht="12.75">
      <c r="A86" s="101"/>
      <c r="B86" s="69">
        <v>1</v>
      </c>
      <c r="C86" s="41" t="s">
        <v>51</v>
      </c>
      <c r="E86" s="69" t="s">
        <v>69</v>
      </c>
      <c r="F86" s="8"/>
      <c r="G86" s="107"/>
      <c r="H86" s="71">
        <v>1</v>
      </c>
      <c r="I86" s="57" t="s">
        <v>182</v>
      </c>
      <c r="J86" s="57">
        <v>2</v>
      </c>
      <c r="K86" s="136" t="s">
        <v>18</v>
      </c>
      <c r="L86" s="77"/>
    </row>
    <row r="87" spans="1:12" ht="12.75">
      <c r="A87" s="102">
        <f>4/30</f>
        <v>0.13333333333333333</v>
      </c>
      <c r="B87" s="69">
        <f>ROUNDUP(A87*$B$1,0)</f>
        <v>5</v>
      </c>
      <c r="C87" s="41" t="str">
        <f>IF(B87&gt;0,"folding table"," ")</f>
        <v>folding table</v>
      </c>
      <c r="E87" s="69" t="s">
        <v>18</v>
      </c>
      <c r="F87" s="8"/>
      <c r="G87" s="107"/>
      <c r="H87" s="71">
        <v>1</v>
      </c>
      <c r="I87" s="41" t="s">
        <v>128</v>
      </c>
      <c r="J87" s="57">
        <v>1</v>
      </c>
      <c r="K87" s="76" t="s">
        <v>129</v>
      </c>
      <c r="L87" s="77"/>
    </row>
    <row r="88" spans="1:12" ht="12.75">
      <c r="A88" s="99">
        <v>1</v>
      </c>
      <c r="B88" s="41">
        <f aca="true" t="shared" si="5" ref="B88:B96">IF($B$87&gt;A88,1,0)</f>
        <v>1</v>
      </c>
      <c r="C88" s="41" t="str">
        <f>IF(B88&gt;0,"folding table"," ")</f>
        <v>folding table</v>
      </c>
      <c r="E88" s="69" t="s">
        <v>80</v>
      </c>
      <c r="F88" s="8"/>
      <c r="G88" s="107"/>
      <c r="H88" s="71">
        <v>1</v>
      </c>
      <c r="I88" s="57" t="s">
        <v>130</v>
      </c>
      <c r="J88" s="57">
        <v>1</v>
      </c>
      <c r="K88" s="76" t="s">
        <v>18</v>
      </c>
      <c r="L88" s="77"/>
    </row>
    <row r="89" spans="1:12" ht="12.75">
      <c r="A89" s="99">
        <v>2</v>
      </c>
      <c r="B89" s="41">
        <f t="shared" si="5"/>
        <v>1</v>
      </c>
      <c r="C89" s="57" t="str">
        <f>IF(B89&gt;0,"folding table"," ")</f>
        <v>folding table</v>
      </c>
      <c r="D89" s="57"/>
      <c r="E89" s="69" t="s">
        <v>73</v>
      </c>
      <c r="F89" s="8"/>
      <c r="G89" s="107"/>
      <c r="H89" s="71">
        <f>2+ROUND(B1/10,0)</f>
        <v>5</v>
      </c>
      <c r="I89" s="57" t="s">
        <v>6</v>
      </c>
      <c r="J89" s="57"/>
      <c r="K89" s="59" t="s">
        <v>237</v>
      </c>
      <c r="L89" s="77"/>
    </row>
    <row r="90" spans="1:12" ht="12.75">
      <c r="A90" s="99">
        <v>3</v>
      </c>
      <c r="B90" s="41">
        <f t="shared" si="5"/>
        <v>1</v>
      </c>
      <c r="C90" s="57" t="str">
        <f>IF(B90&gt;0,"folding table"," ")</f>
        <v>folding table</v>
      </c>
      <c r="D90" s="57"/>
      <c r="E90" s="69" t="s">
        <v>73</v>
      </c>
      <c r="F90" s="8"/>
      <c r="G90" s="107"/>
      <c r="H90" s="71" t="s">
        <v>28</v>
      </c>
      <c r="I90" s="57" t="s">
        <v>26</v>
      </c>
      <c r="J90" s="57">
        <v>2</v>
      </c>
      <c r="K90" s="70" t="s">
        <v>166</v>
      </c>
      <c r="L90" s="77"/>
    </row>
    <row r="91" spans="1:12" ht="12.75">
      <c r="A91" s="99">
        <v>4</v>
      </c>
      <c r="B91" s="41">
        <f t="shared" si="5"/>
        <v>1</v>
      </c>
      <c r="C91" s="57" t="str">
        <f>IF(B91&gt;0,"folding table"," ")</f>
        <v>folding table</v>
      </c>
      <c r="D91" s="57"/>
      <c r="E91" s="69" t="s">
        <v>73</v>
      </c>
      <c r="F91" s="8"/>
      <c r="G91" s="107"/>
      <c r="H91" s="71">
        <v>1</v>
      </c>
      <c r="I91" s="57" t="s">
        <v>43</v>
      </c>
      <c r="J91" s="72"/>
      <c r="K91" s="71" t="s">
        <v>18</v>
      </c>
      <c r="L91" s="77"/>
    </row>
    <row r="92" spans="1:12" ht="12.75">
      <c r="A92" s="99">
        <v>5</v>
      </c>
      <c r="B92" s="41">
        <f t="shared" si="5"/>
        <v>0</v>
      </c>
      <c r="C92" s="57" t="s">
        <v>149</v>
      </c>
      <c r="D92" s="57"/>
      <c r="E92" s="69" t="s">
        <v>159</v>
      </c>
      <c r="F92" s="8"/>
      <c r="G92" s="107"/>
      <c r="H92" s="71">
        <v>1</v>
      </c>
      <c r="I92" s="57" t="s">
        <v>126</v>
      </c>
      <c r="K92" s="71" t="s">
        <v>18</v>
      </c>
      <c r="L92" s="77"/>
    </row>
    <row r="93" spans="1:12" ht="12.75">
      <c r="A93" s="99">
        <v>6</v>
      </c>
      <c r="B93" s="41">
        <f t="shared" si="5"/>
        <v>0</v>
      </c>
      <c r="C93" s="57" t="s">
        <v>171</v>
      </c>
      <c r="D93" s="57"/>
      <c r="E93" s="69" t="s">
        <v>18</v>
      </c>
      <c r="F93" s="8"/>
      <c r="G93" s="107"/>
      <c r="H93" s="71">
        <v>1</v>
      </c>
      <c r="I93" s="57" t="s">
        <v>57</v>
      </c>
      <c r="J93" s="57"/>
      <c r="K93" s="71" t="s">
        <v>80</v>
      </c>
      <c r="L93" s="77"/>
    </row>
    <row r="94" spans="1:12" ht="12.75">
      <c r="A94" s="99">
        <v>7</v>
      </c>
      <c r="B94" s="41">
        <f t="shared" si="5"/>
        <v>0</v>
      </c>
      <c r="C94" s="57"/>
      <c r="D94" s="57"/>
      <c r="E94" s="69"/>
      <c r="F94" s="8"/>
      <c r="G94" s="107"/>
      <c r="H94" s="71">
        <v>1</v>
      </c>
      <c r="I94" s="57" t="s">
        <v>131</v>
      </c>
      <c r="J94" s="57"/>
      <c r="K94" s="90" t="s">
        <v>18</v>
      </c>
      <c r="L94" s="77"/>
    </row>
    <row r="95" spans="1:12" ht="12.75">
      <c r="A95" s="99">
        <v>8</v>
      </c>
      <c r="B95" s="41">
        <f t="shared" si="5"/>
        <v>0</v>
      </c>
      <c r="C95" s="57"/>
      <c r="D95" s="57"/>
      <c r="E95" s="69"/>
      <c r="F95" s="8"/>
      <c r="G95" s="107"/>
      <c r="H95" s="71">
        <v>1</v>
      </c>
      <c r="I95" s="41" t="s">
        <v>132</v>
      </c>
      <c r="K95" s="90" t="s">
        <v>18</v>
      </c>
      <c r="L95" s="77"/>
    </row>
    <row r="96" spans="1:7" ht="12.75">
      <c r="A96" s="99">
        <v>9</v>
      </c>
      <c r="B96" s="41">
        <f t="shared" si="5"/>
        <v>0</v>
      </c>
      <c r="C96" s="72" t="str">
        <f>IF(B96&gt;0," ADD MORE, ROB!"," ")</f>
        <v> </v>
      </c>
      <c r="D96" s="72"/>
      <c r="E96" s="69"/>
      <c r="F96" s="8"/>
      <c r="G96" s="107"/>
    </row>
    <row r="97" spans="1:10" ht="12.75">
      <c r="A97" s="101"/>
      <c r="B97" s="69" t="s">
        <v>29</v>
      </c>
      <c r="C97" s="57" t="s">
        <v>44</v>
      </c>
      <c r="D97" s="57">
        <v>2</v>
      </c>
      <c r="E97" s="76" t="s">
        <v>188</v>
      </c>
      <c r="F97" s="77"/>
      <c r="G97" s="106"/>
      <c r="H97" s="62" t="s">
        <v>12</v>
      </c>
      <c r="I97" s="143" t="s">
        <v>108</v>
      </c>
      <c r="J97" s="142" t="s">
        <v>193</v>
      </c>
    </row>
    <row r="98" spans="1:12" ht="12.75">
      <c r="A98" s="102">
        <f>A21+A24</f>
        <v>1</v>
      </c>
      <c r="B98" s="69">
        <f>ROUNDUP(A98*$B$1,0)</f>
        <v>31</v>
      </c>
      <c r="C98" s="57" t="s">
        <v>72</v>
      </c>
      <c r="D98" s="57">
        <v>2</v>
      </c>
      <c r="E98" s="76" t="s">
        <v>167</v>
      </c>
      <c r="F98" s="8"/>
      <c r="G98" s="106"/>
      <c r="H98" s="71">
        <v>300</v>
      </c>
      <c r="I98" s="68" t="s">
        <v>153</v>
      </c>
      <c r="J98" s="68"/>
      <c r="K98" s="71" t="s">
        <v>18</v>
      </c>
      <c r="L98" s="77"/>
    </row>
    <row r="99" spans="1:12" ht="12.75">
      <c r="A99" s="102"/>
      <c r="B99" s="69">
        <f>B98</f>
        <v>31</v>
      </c>
      <c r="C99" s="57" t="s">
        <v>186</v>
      </c>
      <c r="D99" s="57">
        <v>2</v>
      </c>
      <c r="E99" s="76" t="s">
        <v>187</v>
      </c>
      <c r="F99" s="8"/>
      <c r="G99" s="106"/>
      <c r="H99" s="71">
        <v>1</v>
      </c>
      <c r="I99" s="68" t="s">
        <v>109</v>
      </c>
      <c r="J99" s="68"/>
      <c r="K99" s="69" t="s">
        <v>18</v>
      </c>
      <c r="L99" s="77"/>
    </row>
    <row r="100" spans="1:12" ht="12.75">
      <c r="A100" s="101"/>
      <c r="B100" s="69">
        <v>6</v>
      </c>
      <c r="C100" s="57" t="s">
        <v>2</v>
      </c>
      <c r="D100" s="57">
        <v>1</v>
      </c>
      <c r="E100" s="76" t="s">
        <v>183</v>
      </c>
      <c r="F100" s="77"/>
      <c r="G100" s="106"/>
      <c r="H100" s="71">
        <v>1</v>
      </c>
      <c r="I100" s="68" t="s">
        <v>70</v>
      </c>
      <c r="J100" s="68"/>
      <c r="K100" s="69" t="s">
        <v>18</v>
      </c>
      <c r="L100" s="77"/>
    </row>
    <row r="101" spans="1:12" ht="12.75">
      <c r="A101" s="101"/>
      <c r="B101" s="69">
        <v>1</v>
      </c>
      <c r="C101" s="41" t="s">
        <v>241</v>
      </c>
      <c r="E101" s="71" t="s">
        <v>158</v>
      </c>
      <c r="F101" s="77"/>
      <c r="G101" s="106"/>
      <c r="H101" s="71">
        <v>1</v>
      </c>
      <c r="I101" s="68" t="s">
        <v>204</v>
      </c>
      <c r="J101" s="68"/>
      <c r="K101" s="69" t="s">
        <v>18</v>
      </c>
      <c r="L101" s="77"/>
    </row>
    <row r="102" spans="1:12" ht="12.75">
      <c r="A102" s="101"/>
      <c r="B102" s="69">
        <v>2</v>
      </c>
      <c r="C102" s="41" t="s">
        <v>13</v>
      </c>
      <c r="E102" s="69" t="s">
        <v>18</v>
      </c>
      <c r="F102" s="8"/>
      <c r="G102" s="106"/>
      <c r="H102" s="71">
        <v>1</v>
      </c>
      <c r="I102" s="68" t="s">
        <v>120</v>
      </c>
      <c r="J102" s="68"/>
      <c r="K102" s="69" t="s">
        <v>18</v>
      </c>
      <c r="L102" s="77"/>
    </row>
    <row r="103" spans="1:12" ht="12.75">
      <c r="A103" s="101"/>
      <c r="B103" s="69">
        <v>1</v>
      </c>
      <c r="C103" s="41" t="s">
        <v>88</v>
      </c>
      <c r="E103" s="69" t="s">
        <v>18</v>
      </c>
      <c r="F103" s="8"/>
      <c r="G103" s="106"/>
      <c r="H103" s="71">
        <v>1</v>
      </c>
      <c r="I103" s="68" t="s">
        <v>146</v>
      </c>
      <c r="J103" s="68"/>
      <c r="K103" s="69" t="s">
        <v>18</v>
      </c>
      <c r="L103" s="77"/>
    </row>
    <row r="104" spans="1:12" ht="12.75">
      <c r="A104" s="101"/>
      <c r="B104" s="71">
        <v>1</v>
      </c>
      <c r="C104" s="57" t="s">
        <v>66</v>
      </c>
      <c r="D104" s="72"/>
      <c r="E104" s="69" t="s">
        <v>18</v>
      </c>
      <c r="F104" s="8"/>
      <c r="G104" s="106"/>
      <c r="H104" s="71">
        <v>1</v>
      </c>
      <c r="I104" s="68" t="s">
        <v>133</v>
      </c>
      <c r="J104" s="68"/>
      <c r="K104" s="69" t="s">
        <v>18</v>
      </c>
      <c r="L104" s="77"/>
    </row>
    <row r="105" spans="7:12" ht="12.75">
      <c r="G105" s="106"/>
      <c r="H105" s="71">
        <v>1</v>
      </c>
      <c r="I105" s="68" t="s">
        <v>206</v>
      </c>
      <c r="J105" s="68"/>
      <c r="K105" s="71" t="s">
        <v>18</v>
      </c>
      <c r="L105" s="77"/>
    </row>
    <row r="106" spans="2:12" ht="12.75">
      <c r="B106" s="64" t="s">
        <v>12</v>
      </c>
      <c r="C106" s="143" t="s">
        <v>5</v>
      </c>
      <c r="D106" s="142" t="s">
        <v>193</v>
      </c>
      <c r="G106" s="106"/>
      <c r="H106" s="71">
        <v>2</v>
      </c>
      <c r="I106" s="68" t="s">
        <v>189</v>
      </c>
      <c r="J106" s="68"/>
      <c r="K106" s="90" t="s">
        <v>190</v>
      </c>
      <c r="L106" s="77"/>
    </row>
    <row r="107" spans="2:12" ht="12.75">
      <c r="B107" s="69">
        <v>1</v>
      </c>
      <c r="C107" s="41" t="s">
        <v>100</v>
      </c>
      <c r="E107" s="69" t="s">
        <v>18</v>
      </c>
      <c r="F107" s="8"/>
      <c r="G107" s="106"/>
      <c r="H107" s="71">
        <v>1</v>
      </c>
      <c r="I107" s="89" t="s">
        <v>89</v>
      </c>
      <c r="J107" s="89"/>
      <c r="K107" s="71" t="s">
        <v>158</v>
      </c>
      <c r="L107" s="77"/>
    </row>
    <row r="108" spans="2:12" ht="12.75">
      <c r="B108" s="69">
        <v>1</v>
      </c>
      <c r="C108" s="41" t="s">
        <v>101</v>
      </c>
      <c r="E108" s="69" t="s">
        <v>80</v>
      </c>
      <c r="F108" s="8"/>
      <c r="G108" s="106"/>
      <c r="H108" s="71">
        <v>1</v>
      </c>
      <c r="I108" s="41" t="s">
        <v>7</v>
      </c>
      <c r="K108" s="69" t="s">
        <v>18</v>
      </c>
      <c r="L108" s="77"/>
    </row>
    <row r="109" spans="2:12" ht="12.75">
      <c r="B109" s="69">
        <v>1</v>
      </c>
      <c r="C109" s="41" t="s">
        <v>101</v>
      </c>
      <c r="E109" s="69" t="s">
        <v>73</v>
      </c>
      <c r="F109" s="8"/>
      <c r="G109" s="106"/>
      <c r="H109" s="71">
        <v>1</v>
      </c>
      <c r="I109" s="57" t="s">
        <v>7</v>
      </c>
      <c r="J109" s="72"/>
      <c r="K109" s="70" t="s">
        <v>239</v>
      </c>
      <c r="L109" s="77"/>
    </row>
    <row r="110" spans="2:12" ht="12.75">
      <c r="B110" s="69">
        <v>1</v>
      </c>
      <c r="C110" s="41" t="s">
        <v>92</v>
      </c>
      <c r="E110" s="69" t="s">
        <v>18</v>
      </c>
      <c r="F110" s="8"/>
      <c r="G110" s="106"/>
      <c r="H110" s="71">
        <v>1</v>
      </c>
      <c r="I110" s="41" t="s">
        <v>82</v>
      </c>
      <c r="K110" s="71" t="s">
        <v>18</v>
      </c>
      <c r="L110" s="71"/>
    </row>
    <row r="111" spans="2:12" ht="12.75">
      <c r="B111" s="69">
        <v>1</v>
      </c>
      <c r="C111" s="132" t="s">
        <v>94</v>
      </c>
      <c r="E111" s="69" t="s">
        <v>227</v>
      </c>
      <c r="F111" s="8"/>
      <c r="G111" s="106"/>
      <c r="H111" s="71">
        <v>1</v>
      </c>
      <c r="I111" s="68" t="s">
        <v>83</v>
      </c>
      <c r="J111" s="68"/>
      <c r="K111" s="71" t="s">
        <v>18</v>
      </c>
      <c r="L111" s="71"/>
    </row>
    <row r="112" spans="2:12" ht="12.75">
      <c r="B112" s="69">
        <v>1</v>
      </c>
      <c r="C112" s="65" t="s">
        <v>94</v>
      </c>
      <c r="D112" s="65"/>
      <c r="E112" s="69" t="s">
        <v>18</v>
      </c>
      <c r="F112" s="8"/>
      <c r="H112" s="71">
        <v>1</v>
      </c>
      <c r="I112" s="68" t="s">
        <v>104</v>
      </c>
      <c r="J112" s="68"/>
      <c r="K112" s="69" t="s">
        <v>18</v>
      </c>
      <c r="L112" s="77"/>
    </row>
    <row r="113" spans="2:6" ht="12.75">
      <c r="B113" s="69">
        <v>1</v>
      </c>
      <c r="C113" s="65" t="s">
        <v>94</v>
      </c>
      <c r="D113" s="65"/>
      <c r="E113" s="69" t="s">
        <v>69</v>
      </c>
      <c r="F113" s="8"/>
    </row>
    <row r="114" spans="2:10" ht="12.75">
      <c r="B114" s="69">
        <v>1</v>
      </c>
      <c r="C114" s="65" t="s">
        <v>94</v>
      </c>
      <c r="D114" s="65"/>
      <c r="E114" s="69" t="s">
        <v>73</v>
      </c>
      <c r="F114" s="8"/>
      <c r="G114" s="107"/>
      <c r="H114" s="62" t="s">
        <v>12</v>
      </c>
      <c r="I114" s="143" t="s">
        <v>64</v>
      </c>
      <c r="J114" s="142" t="s">
        <v>193</v>
      </c>
    </row>
    <row r="115" spans="2:12" ht="12.75">
      <c r="B115" s="61"/>
      <c r="C115" s="61"/>
      <c r="D115" s="61"/>
      <c r="E115" s="61"/>
      <c r="F115" s="62"/>
      <c r="G115" s="106"/>
      <c r="H115" s="71">
        <v>1</v>
      </c>
      <c r="I115" s="146" t="s">
        <v>71</v>
      </c>
      <c r="J115" s="14"/>
      <c r="K115" s="71" t="s">
        <v>74</v>
      </c>
      <c r="L115" s="77"/>
    </row>
    <row r="116" spans="2:12" ht="12.75">
      <c r="B116" s="61"/>
      <c r="C116" s="61"/>
      <c r="D116" s="61"/>
      <c r="E116" s="61"/>
      <c r="F116" s="62"/>
      <c r="G116" s="106"/>
      <c r="H116" s="109">
        <v>1</v>
      </c>
      <c r="I116" s="41" t="s">
        <v>90</v>
      </c>
      <c r="K116" s="95" t="s">
        <v>18</v>
      </c>
      <c r="L116" s="113"/>
    </row>
    <row r="117" spans="2:12" ht="12.75">
      <c r="B117" s="61"/>
      <c r="C117" s="61"/>
      <c r="D117" s="61"/>
      <c r="E117" s="61"/>
      <c r="F117" s="62"/>
      <c r="G117" s="106"/>
      <c r="H117" s="71">
        <v>1</v>
      </c>
      <c r="I117" s="41" t="s">
        <v>54</v>
      </c>
      <c r="K117" s="69" t="s">
        <v>18</v>
      </c>
      <c r="L117" s="77"/>
    </row>
    <row r="118" spans="2:12" ht="12.75">
      <c r="B118" s="61"/>
      <c r="C118" s="61"/>
      <c r="D118" s="61"/>
      <c r="E118" s="61"/>
      <c r="F118" s="62"/>
      <c r="G118" s="106"/>
      <c r="H118" s="71">
        <f>2*B1</f>
        <v>62</v>
      </c>
      <c r="I118" s="41" t="s">
        <v>91</v>
      </c>
      <c r="K118" s="69" t="s">
        <v>18</v>
      </c>
      <c r="L118" s="77"/>
    </row>
    <row r="119" spans="2:12" ht="12.75">
      <c r="B119" s="61"/>
      <c r="C119" s="61"/>
      <c r="D119" s="61"/>
      <c r="E119" s="61"/>
      <c r="F119" s="62"/>
      <c r="G119" s="106"/>
      <c r="H119" s="71"/>
      <c r="I119" s="41" t="s">
        <v>184</v>
      </c>
      <c r="K119" s="71" t="s">
        <v>162</v>
      </c>
      <c r="L119" s="77"/>
    </row>
    <row r="120" spans="2:12" ht="12.75">
      <c r="B120" s="61"/>
      <c r="C120" s="61"/>
      <c r="D120" s="61"/>
      <c r="E120" s="61"/>
      <c r="F120" s="62"/>
      <c r="G120" s="106"/>
      <c r="H120" s="71"/>
      <c r="I120" s="68" t="s">
        <v>185</v>
      </c>
      <c r="J120" s="68"/>
      <c r="K120" s="71" t="s">
        <v>160</v>
      </c>
      <c r="L120" s="77"/>
    </row>
    <row r="121" spans="2:11" ht="12.75">
      <c r="B121" s="61"/>
      <c r="C121" s="61"/>
      <c r="D121" s="61"/>
      <c r="E121" s="61"/>
      <c r="F121" s="62"/>
      <c r="I121" s="61"/>
      <c r="J121" s="61"/>
      <c r="K121" s="61"/>
    </row>
    <row r="122" spans="2:11" ht="12.75">
      <c r="B122" s="61"/>
      <c r="C122" s="61"/>
      <c r="D122" s="61"/>
      <c r="E122" s="61"/>
      <c r="F122" s="62"/>
      <c r="I122" s="61"/>
      <c r="J122" s="61"/>
      <c r="K122" s="61"/>
    </row>
    <row r="123" spans="2:11" ht="12.75">
      <c r="B123" s="61"/>
      <c r="C123" s="61"/>
      <c r="D123" s="61"/>
      <c r="E123" s="61"/>
      <c r="F123" s="62"/>
      <c r="I123" s="61"/>
      <c r="J123" s="61"/>
      <c r="K123" s="61"/>
    </row>
    <row r="124" spans="2:11" ht="12.75">
      <c r="B124" s="61"/>
      <c r="C124" s="61"/>
      <c r="D124" s="61"/>
      <c r="E124" s="61"/>
      <c r="F124" s="62"/>
      <c r="I124" s="61"/>
      <c r="J124" s="61"/>
      <c r="K124" s="61"/>
    </row>
    <row r="125" spans="2:11" ht="12.75">
      <c r="B125" s="61"/>
      <c r="C125" s="61"/>
      <c r="D125" s="61"/>
      <c r="E125" s="61"/>
      <c r="F125" s="62"/>
      <c r="I125" s="61"/>
      <c r="J125" s="61"/>
      <c r="K125" s="61"/>
    </row>
    <row r="126" spans="2:11" ht="12.75">
      <c r="B126" s="61"/>
      <c r="C126" s="61"/>
      <c r="D126" s="61"/>
      <c r="E126" s="61"/>
      <c r="F126" s="62"/>
      <c r="I126" s="61"/>
      <c r="J126" s="61"/>
      <c r="K126" s="61"/>
    </row>
    <row r="127" spans="2:11" ht="12.75">
      <c r="B127" s="61"/>
      <c r="C127" s="61"/>
      <c r="D127" s="61"/>
      <c r="E127" s="61"/>
      <c r="F127" s="62"/>
      <c r="I127" s="61"/>
      <c r="J127" s="61"/>
      <c r="K127" s="61"/>
    </row>
    <row r="128" spans="2:11" ht="12.75">
      <c r="B128" s="61"/>
      <c r="C128" s="61"/>
      <c r="D128" s="61"/>
      <c r="E128" s="61"/>
      <c r="F128" s="62"/>
      <c r="I128" s="61"/>
      <c r="J128" s="61"/>
      <c r="K128" s="61"/>
    </row>
    <row r="129" spans="2:11" ht="12.75">
      <c r="B129" s="61"/>
      <c r="C129" s="61"/>
      <c r="D129" s="61"/>
      <c r="E129" s="61"/>
      <c r="F129" s="62"/>
      <c r="I129" s="61"/>
      <c r="J129" s="61"/>
      <c r="K129" s="61"/>
    </row>
    <row r="130" spans="2:11" ht="12.75">
      <c r="B130" s="61"/>
      <c r="C130" s="61"/>
      <c r="D130" s="61"/>
      <c r="E130" s="61"/>
      <c r="F130" s="62"/>
      <c r="I130" s="61"/>
      <c r="J130" s="61"/>
      <c r="K130" s="61"/>
    </row>
    <row r="131" spans="2:11" ht="12.75">
      <c r="B131" s="61"/>
      <c r="C131" s="61"/>
      <c r="D131" s="61"/>
      <c r="E131" s="61"/>
      <c r="F131" s="62"/>
      <c r="I131" s="61"/>
      <c r="J131" s="61"/>
      <c r="K131" s="61"/>
    </row>
    <row r="132" spans="2:11" ht="12.75">
      <c r="B132" s="61"/>
      <c r="C132" s="61"/>
      <c r="D132" s="61"/>
      <c r="E132" s="61"/>
      <c r="F132" s="62"/>
      <c r="I132" s="61"/>
      <c r="J132" s="61"/>
      <c r="K132" s="61"/>
    </row>
    <row r="133" spans="2:11" ht="12.75">
      <c r="B133" s="61"/>
      <c r="C133" s="61"/>
      <c r="D133" s="61"/>
      <c r="E133" s="61"/>
      <c r="F133" s="62"/>
      <c r="I133" s="61"/>
      <c r="J133" s="61"/>
      <c r="K133" s="61"/>
    </row>
    <row r="134" spans="2:6" ht="12.75">
      <c r="B134" s="61"/>
      <c r="C134" s="61"/>
      <c r="D134" s="61"/>
      <c r="E134" s="61"/>
      <c r="F134" s="62"/>
    </row>
  </sheetData>
  <mergeCells count="6">
    <mergeCell ref="C4:I4"/>
    <mergeCell ref="C3:I3"/>
    <mergeCell ref="A62:A63"/>
    <mergeCell ref="B62:B63"/>
    <mergeCell ref="E62:E63"/>
    <mergeCell ref="F62:F63"/>
  </mergeCells>
  <hyperlinks>
    <hyperlink ref="B3" location="'How to use this list'!A1" display="How to?"/>
    <hyperlink ref="C33" location="'Burger Sheet'!A1" display="Bacon-Cheddar burgers"/>
  </hyperlinks>
  <printOptions horizontalCentered="1"/>
  <pageMargins left="0.5" right="0.25" top="1" bottom="1" header="0.5" footer="0.5"/>
  <pageSetup fitToHeight="2" fitToWidth="1" horizontalDpi="600" verticalDpi="600" orientation="portrait" scale="62" r:id="rId1"/>
  <headerFooter alignWithMargins="0">
    <oddHeader>&amp;C&amp;12Equipment List</oddHeader>
    <oddFooter>&amp;C&amp;12Diesel Tailgate&amp;R&amp;12Page &amp;P of &amp;N</oddFooter>
  </headerFooter>
  <rowBreaks count="1" manualBreakCount="1">
    <brk id="61" max="11" man="1"/>
  </rowBreaks>
</worksheet>
</file>

<file path=xl/worksheets/sheet2.xml><?xml version="1.0" encoding="utf-8"?>
<worksheet xmlns="http://schemas.openxmlformats.org/spreadsheetml/2006/main" xmlns:r="http://schemas.openxmlformats.org/officeDocument/2006/relationships">
  <sheetPr>
    <tabColor indexed="10"/>
  </sheetPr>
  <dimension ref="A1:M54"/>
  <sheetViews>
    <sheetView zoomScale="85" zoomScaleNormal="85" workbookViewId="0" topLeftCell="A1">
      <selection activeCell="A1" sqref="A1"/>
    </sheetView>
  </sheetViews>
  <sheetFormatPr defaultColWidth="9.140625" defaultRowHeight="12.75"/>
  <cols>
    <col min="3" max="3" width="29.7109375" style="0" bestFit="1" customWidth="1"/>
    <col min="4" max="4" width="10.28125" style="0" bestFit="1" customWidth="1"/>
    <col min="5" max="5" width="3.140625" style="0" customWidth="1"/>
    <col min="9" max="9" width="24.421875" style="0" bestFit="1" customWidth="1"/>
    <col min="11" max="11" width="4.00390625" style="0" customWidth="1"/>
    <col min="12" max="12" width="3.7109375" style="0" customWidth="1"/>
    <col min="14" max="14" width="29.7109375" style="0" bestFit="1" customWidth="1"/>
    <col min="15" max="15" width="10.28125" style="0" bestFit="1" customWidth="1"/>
    <col min="16" max="16" width="4.00390625" style="0" customWidth="1"/>
    <col min="20" max="20" width="24.421875" style="0" bestFit="1" customWidth="1"/>
    <col min="22" max="22" width="3.421875" style="0" customWidth="1"/>
  </cols>
  <sheetData>
    <row r="1" ht="12.75">
      <c r="A1" s="18" t="s">
        <v>84</v>
      </c>
    </row>
    <row r="40" ht="13.5" thickBot="1"/>
    <row r="41" spans="2:10" ht="21" thickBot="1">
      <c r="B41" s="25">
        <v>5</v>
      </c>
      <c r="C41" s="26" t="s">
        <v>115</v>
      </c>
      <c r="D41" s="6"/>
      <c r="E41" s="7"/>
      <c r="F41" s="7"/>
      <c r="G41" s="27" t="s">
        <v>46</v>
      </c>
      <c r="H41" s="28">
        <v>38826</v>
      </c>
      <c r="I41" s="27" t="s">
        <v>47</v>
      </c>
      <c r="J41" s="29">
        <f ca="1">TODAY()</f>
        <v>39365</v>
      </c>
    </row>
    <row r="45" spans="1:13" ht="12.75">
      <c r="A45" s="43" t="s">
        <v>11</v>
      </c>
      <c r="B45" s="20" t="s">
        <v>12</v>
      </c>
      <c r="C45" s="21" t="s">
        <v>110</v>
      </c>
      <c r="D45" s="22"/>
      <c r="E45" s="20"/>
      <c r="G45" s="20" t="s">
        <v>11</v>
      </c>
      <c r="H45" s="20" t="s">
        <v>12</v>
      </c>
      <c r="I45" s="21" t="s">
        <v>107</v>
      </c>
      <c r="J45" s="22"/>
      <c r="K45" s="30"/>
      <c r="L45" s="31"/>
      <c r="M45" s="31"/>
    </row>
    <row r="46" spans="1:13" ht="12.75">
      <c r="A46" s="46">
        <v>2</v>
      </c>
      <c r="B46" s="23">
        <f>ROUNDUP(A46*$B$41,0)</f>
        <v>10</v>
      </c>
      <c r="C46" s="22" t="s">
        <v>111</v>
      </c>
      <c r="D46" s="23" t="s">
        <v>112</v>
      </c>
      <c r="E46" s="24"/>
      <c r="G46" s="23">
        <v>0.5</v>
      </c>
      <c r="H46" s="23">
        <f>ROUNDUP(G46*$B$41,0)</f>
        <v>3</v>
      </c>
      <c r="I46" s="22" t="str">
        <f>IF(H46&gt;0,"Yuengling Lager"," ")</f>
        <v>Yuengling Lager</v>
      </c>
      <c r="J46" s="23" t="s">
        <v>18</v>
      </c>
      <c r="K46" s="32"/>
      <c r="L46" s="33" t="s">
        <v>78</v>
      </c>
      <c r="M46" s="23"/>
    </row>
    <row r="47" spans="1:13" ht="12.75">
      <c r="A47" s="46">
        <f>A46</f>
        <v>2</v>
      </c>
      <c r="B47" s="23">
        <f>ROUNDUP(A47*$B$41,0)</f>
        <v>10</v>
      </c>
      <c r="C47" s="22" t="s">
        <v>102</v>
      </c>
      <c r="D47" s="23" t="s">
        <v>112</v>
      </c>
      <c r="E47" s="24"/>
      <c r="G47" s="16">
        <v>1</v>
      </c>
      <c r="H47" s="22">
        <f>IF($H$46&gt;G47,1,0)</f>
        <v>1</v>
      </c>
      <c r="I47" s="22" t="str">
        <f aca="true" t="shared" si="0" ref="I47:I53">IF(H47&gt;0,"Yuengling Lager"," ")</f>
        <v>Yuengling Lager</v>
      </c>
      <c r="J47" s="23" t="s">
        <v>80</v>
      </c>
      <c r="K47" s="34"/>
      <c r="L47" s="33" t="s">
        <v>78</v>
      </c>
      <c r="M47" s="23"/>
    </row>
    <row r="48" spans="1:13" ht="12.75">
      <c r="A48" s="44">
        <f>1/50</f>
        <v>0.02</v>
      </c>
      <c r="B48" s="23">
        <f>ROUNDUP(A48*$B$41,0)</f>
        <v>1</v>
      </c>
      <c r="C48" s="22" t="s">
        <v>53</v>
      </c>
      <c r="D48" s="35" t="s">
        <v>18</v>
      </c>
      <c r="E48" s="24"/>
      <c r="G48" s="16">
        <v>2</v>
      </c>
      <c r="H48" s="22">
        <f aca="true" t="shared" si="1" ref="H48:H53">IF($H$46&gt;G48,1,0)</f>
        <v>1</v>
      </c>
      <c r="I48" s="22" t="str">
        <f t="shared" si="0"/>
        <v>Yuengling Lager</v>
      </c>
      <c r="J48" s="23" t="s">
        <v>80</v>
      </c>
      <c r="K48" s="34"/>
      <c r="L48" s="33" t="s">
        <v>78</v>
      </c>
      <c r="M48" s="23"/>
    </row>
    <row r="49" spans="1:13" ht="12.75">
      <c r="A49" s="45">
        <v>1</v>
      </c>
      <c r="B49" s="23">
        <f>ROUNDUP(A49*$B$41,0)</f>
        <v>5</v>
      </c>
      <c r="C49" s="36" t="s">
        <v>50</v>
      </c>
      <c r="D49" s="23"/>
      <c r="E49" s="24"/>
      <c r="G49" s="16">
        <v>3</v>
      </c>
      <c r="H49" s="22">
        <f t="shared" si="1"/>
        <v>0</v>
      </c>
      <c r="I49" s="22" t="str">
        <f>IF(H49&gt;0,"Yuengling Lager"," ")</f>
        <v> </v>
      </c>
      <c r="J49" s="23"/>
      <c r="K49" s="34"/>
      <c r="L49" s="33"/>
      <c r="M49" s="23"/>
    </row>
    <row r="50" spans="1:13" ht="12.75">
      <c r="A50" s="45">
        <v>0.08</v>
      </c>
      <c r="B50" s="23">
        <f>ROUNDUP(A50*$B$41,0)</f>
        <v>1</v>
      </c>
      <c r="C50" s="37" t="s">
        <v>79</v>
      </c>
      <c r="D50" s="23"/>
      <c r="E50" s="24"/>
      <c r="G50" s="16">
        <v>4</v>
      </c>
      <c r="H50" s="22">
        <f t="shared" si="1"/>
        <v>0</v>
      </c>
      <c r="I50" s="22" t="str">
        <f t="shared" si="0"/>
        <v> </v>
      </c>
      <c r="J50" s="23"/>
      <c r="K50" s="23"/>
      <c r="L50" s="23"/>
      <c r="M50" s="23"/>
    </row>
    <row r="51" spans="7:13" ht="12.75">
      <c r="G51" s="16">
        <v>5</v>
      </c>
      <c r="H51" s="22">
        <f t="shared" si="1"/>
        <v>0</v>
      </c>
      <c r="I51" s="22" t="str">
        <f t="shared" si="0"/>
        <v> </v>
      </c>
      <c r="J51" s="23"/>
      <c r="K51" s="23"/>
      <c r="L51" s="23"/>
      <c r="M51" s="23"/>
    </row>
    <row r="52" spans="7:13" ht="12.75">
      <c r="G52" s="16">
        <v>6</v>
      </c>
      <c r="H52" s="22">
        <f t="shared" si="1"/>
        <v>0</v>
      </c>
      <c r="I52" s="22" t="str">
        <f t="shared" si="0"/>
        <v> </v>
      </c>
      <c r="J52" s="23"/>
      <c r="K52" s="23"/>
      <c r="L52" s="23"/>
      <c r="M52" s="23"/>
    </row>
    <row r="53" spans="7:13" ht="12.75">
      <c r="G53" s="16">
        <v>7</v>
      </c>
      <c r="H53" s="22">
        <f t="shared" si="1"/>
        <v>0</v>
      </c>
      <c r="I53" s="22" t="str">
        <f t="shared" si="0"/>
        <v> </v>
      </c>
      <c r="J53" s="23"/>
      <c r="K53" s="23"/>
      <c r="L53" s="23"/>
      <c r="M53" s="23"/>
    </row>
    <row r="54" ht="12.75">
      <c r="I54" s="17" t="str">
        <f>IF(H53=1,"add more items, Rob"," ")</f>
        <v> </v>
      </c>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indexed="12"/>
    <pageSetUpPr fitToPage="1"/>
  </sheetPr>
  <dimension ref="A1:M34"/>
  <sheetViews>
    <sheetView workbookViewId="0" topLeftCell="A1">
      <selection activeCell="H17" sqref="H17"/>
    </sheetView>
  </sheetViews>
  <sheetFormatPr defaultColWidth="9.140625" defaultRowHeight="12.75"/>
  <cols>
    <col min="1" max="1" width="9.7109375" style="0" bestFit="1" customWidth="1"/>
    <col min="3" max="3" width="23.28125" style="0" bestFit="1" customWidth="1"/>
    <col min="4" max="4" width="16.7109375" style="0" customWidth="1"/>
    <col min="5" max="5" width="3.57421875" style="0" hidden="1" customWidth="1"/>
    <col min="6" max="6" width="4.57421875" style="0" customWidth="1"/>
    <col min="7" max="7" width="4.57421875" style="0" bestFit="1" customWidth="1"/>
    <col min="10" max="10" width="6.00390625" style="5" customWidth="1"/>
    <col min="11" max="11" width="22.00390625" style="0" bestFit="1" customWidth="1"/>
  </cols>
  <sheetData>
    <row r="1" spans="1:2" ht="18.75" thickBot="1">
      <c r="A1" s="97">
        <f>'Equipment list'!B1</f>
        <v>31</v>
      </c>
      <c r="B1" s="96" t="str">
        <f>'Equipment list'!C1</f>
        <v>Wisco headcount</v>
      </c>
    </row>
    <row r="3" ht="12.75">
      <c r="A3" s="18" t="s">
        <v>135</v>
      </c>
    </row>
    <row r="4" ht="12.75">
      <c r="A4" t="s">
        <v>164</v>
      </c>
    </row>
    <row r="6" spans="1:12" ht="13.5" thickBot="1">
      <c r="A6" s="49" t="str">
        <f>'Equipment list'!G6</f>
        <v>per person</v>
      </c>
      <c r="B6" s="49" t="str">
        <f>'Equipment list'!H6</f>
        <v>total</v>
      </c>
      <c r="C6" s="49" t="str">
        <f>'Equipment list'!I6</f>
        <v>beverages (cases, 24 - 30)</v>
      </c>
      <c r="D6" s="49"/>
      <c r="E6" s="49">
        <f>'Equipment list'!L6</f>
        <v>0</v>
      </c>
      <c r="F6" s="49" t="str">
        <f>'Equipment list'!M6</f>
        <v>NB?</v>
      </c>
      <c r="G6" s="49" t="str">
        <f>'Equipment list'!N6</f>
        <v>PD?</v>
      </c>
      <c r="H6" s="49" t="s">
        <v>140</v>
      </c>
      <c r="I6" s="49" t="s">
        <v>141</v>
      </c>
      <c r="K6" s="19" t="s">
        <v>116</v>
      </c>
      <c r="L6" s="19" t="s">
        <v>12</v>
      </c>
    </row>
    <row r="7" spans="1:13" ht="12.75">
      <c r="A7" s="47">
        <f>'Equipment list'!G7</f>
        <v>0.45</v>
      </c>
      <c r="B7" s="1">
        <f>'Equipment list'!H7</f>
        <v>14</v>
      </c>
      <c r="C7" s="1" t="str">
        <f>'Equipment list'!I7</f>
        <v>Yuengling Lager</v>
      </c>
      <c r="D7" s="1" t="str">
        <f>IF('Equipment list'!K7&gt;0,'Equipment list'!K7," ")</f>
        <v>Rob</v>
      </c>
      <c r="E7" s="1" t="str">
        <f>IF('Equipment list'!L7&gt;0,'Equipment list'!L7," ")</f>
        <v> </v>
      </c>
      <c r="F7" s="1" t="str">
        <f>IF('Equipment list'!M7&gt;0,'Equipment list'!M7," ")</f>
        <v>x</v>
      </c>
      <c r="G7" s="1" t="str">
        <f>IF('Equipment list'!N7&gt;0,'Equipment list'!N7," ")</f>
        <v> </v>
      </c>
      <c r="H7" s="1" t="str">
        <f>IF(AND(C7="Yuengling Lager",F7="x"),"YL",IF(AND(C7="Miller Lite",F7="X"),"ML",IF(AND(C7="Yuengling Black and Tan",F7="X"),"YBT",IF(AND(C7="Yuengling Light lager",F7="X"),"YLL",IF((F7="x"),"Other"," ")))))</f>
        <v>YL</v>
      </c>
      <c r="I7" s="48" t="str">
        <f>IF(AND(C7="Yuengling Lager",NOT(F7="x")),"YL",IF(AND(C7="Miller Lite",NOT(F7="X")),"ML",IF(AND(C7="Yuengling Black and Tan",NOT(F7="X")),"YBT",IF((F7=" "),"Other"," "))))</f>
        <v> </v>
      </c>
      <c r="J7" s="42"/>
      <c r="K7" s="50" t="s">
        <v>118</v>
      </c>
      <c r="L7" s="51">
        <f>COUNTIF(F7:F34,"X")</f>
        <v>6</v>
      </c>
      <c r="M7" s="39">
        <f>L7*21</f>
        <v>126</v>
      </c>
    </row>
    <row r="8" spans="1:12" ht="12.75">
      <c r="A8" s="16">
        <f>'Equipment list'!G8</f>
        <v>1</v>
      </c>
      <c r="B8" s="1">
        <f>'Equipment list'!H8</f>
        <v>1</v>
      </c>
      <c r="C8" s="1" t="str">
        <f>'Equipment list'!I8</f>
        <v>Yuengling Light Lager</v>
      </c>
      <c r="D8" s="1" t="str">
        <f>IF('Equipment list'!K8&gt;0,'Equipment list'!K8," ")</f>
        <v>Chris</v>
      </c>
      <c r="E8" s="1" t="str">
        <f>IF('Equipment list'!L8&gt;0,'Equipment list'!L8," ")</f>
        <v> </v>
      </c>
      <c r="F8" s="1" t="str">
        <f>IF('Equipment list'!M8&gt;0,'Equipment list'!M8," ")</f>
        <v>x</v>
      </c>
      <c r="G8" s="1" t="str">
        <f>IF('Equipment list'!N8&gt;0,'Equipment list'!N8," ")</f>
        <v> </v>
      </c>
      <c r="H8" s="1" t="str">
        <f aca="true" t="shared" si="0" ref="H8:H22">IF(AND(C8="Yuengling Lager",F8="x"),"YL",IF(AND(C8="Miller Lite",F8="X"),"ML",IF(AND(C8="Yuengling Black and Tan",F8="X"),"YBT",IF(AND(C8="Yuengling Light lager",F8="X"),"YLL",IF((F8="x"),"Other"," ")))))</f>
        <v>YLL</v>
      </c>
      <c r="I8" s="48" t="str">
        <f>IF(AND(C8="Yuengling Lager",NOT(F8="x")),"YL",IF(AND(C8="Miller Lite",NOT(F8="X")),"ML",IF(AND(C8="Yuengling Black and Tan",NOT(F8="X")),"YBT",IF((F8=" "),"Other"," "))))</f>
        <v> </v>
      </c>
      <c r="J8" s="42"/>
      <c r="K8" s="52"/>
      <c r="L8" s="53"/>
    </row>
    <row r="9" spans="1:12" ht="12.75">
      <c r="A9" s="16">
        <f>'Equipment list'!G9</f>
        <v>2</v>
      </c>
      <c r="B9" s="1">
        <f>'Equipment list'!H9</f>
        <v>1</v>
      </c>
      <c r="C9" s="1" t="str">
        <f>'Equipment list'!I9</f>
        <v>Yuengling Lager Bombers</v>
      </c>
      <c r="D9" s="1" t="str">
        <f>IF('Equipment list'!K9&gt;0,'Equipment list'!K9," ")</f>
        <v>Chris</v>
      </c>
      <c r="E9" s="1" t="str">
        <f>IF('Equipment list'!L9&gt;0,'Equipment list'!L9," ")</f>
        <v> </v>
      </c>
      <c r="F9" s="1" t="str">
        <f>IF('Equipment list'!M9&gt;0,'Equipment list'!M9," ")</f>
        <v>x</v>
      </c>
      <c r="G9" s="1" t="str">
        <f>IF('Equipment list'!N9&gt;0,'Equipment list'!N9," ")</f>
        <v> </v>
      </c>
      <c r="H9" s="1" t="str">
        <f t="shared" si="0"/>
        <v>Other</v>
      </c>
      <c r="I9" s="48" t="str">
        <f>IF(AND(C9="Yuengling Lager",NOT(F9="x")),"YL",IF(AND(C9="Miller Lite",NOT(F9="X")),"ML",IF(AND(C9="Yuengling Black and Tan",NOT(F9="X")),"YBT",IF((F9=" "),"Other"," "))))</f>
        <v> </v>
      </c>
      <c r="J9" s="42"/>
      <c r="K9" s="52" t="s">
        <v>139</v>
      </c>
      <c r="L9" s="53">
        <f>COUNTIF(H7:H34,"YL")</f>
        <v>4</v>
      </c>
    </row>
    <row r="10" spans="1:12" ht="12.75">
      <c r="A10" s="16">
        <f>'Equipment list'!G10</f>
        <v>3</v>
      </c>
      <c r="B10" s="1">
        <f>'Equipment list'!H10</f>
        <v>1</v>
      </c>
      <c r="C10" s="1" t="str">
        <f>'Equipment list'!I10</f>
        <v>Yuengling Lager</v>
      </c>
      <c r="D10" s="1" t="str">
        <f>IF('Equipment list'!K10&gt;0,'Equipment list'!K10," ")</f>
        <v>Matt M</v>
      </c>
      <c r="E10" s="1" t="str">
        <f>IF('Equipment list'!L10&gt;0,'Equipment list'!L10," ")</f>
        <v> </v>
      </c>
      <c r="F10" s="1" t="str">
        <f>IF('Equipment list'!M10&gt;0,'Equipment list'!M10," ")</f>
        <v>x</v>
      </c>
      <c r="G10" s="1" t="str">
        <f>IF('Equipment list'!N10&gt;0,'Equipment list'!N10," ")</f>
        <v> </v>
      </c>
      <c r="H10" s="1" t="str">
        <f t="shared" si="0"/>
        <v>YL</v>
      </c>
      <c r="I10" s="15" t="str">
        <f>IF(AND(C10&gt;" ",D10=" "),"yes","  ")</f>
        <v>  </v>
      </c>
      <c r="J10" s="42"/>
      <c r="K10" s="52" t="s">
        <v>163</v>
      </c>
      <c r="L10" s="53">
        <f>COUNTIF(H7:H34,"YLL")</f>
        <v>1</v>
      </c>
    </row>
    <row r="11" spans="1:12" ht="12.75">
      <c r="A11" s="16">
        <f>'Equipment list'!G11</f>
        <v>4</v>
      </c>
      <c r="B11" s="1">
        <f>'Equipment list'!H11</f>
        <v>1</v>
      </c>
      <c r="C11" s="1" t="str">
        <f>'Equipment list'!I11</f>
        <v>Yuengling Lager</v>
      </c>
      <c r="D11" s="1" t="str">
        <f>IF('Equipment list'!K11&gt;0,'Equipment list'!K11," ")</f>
        <v>Kevin</v>
      </c>
      <c r="E11" s="1" t="str">
        <f>IF('Equipment list'!L11&gt;0,'Equipment list'!L11," ")</f>
        <v> </v>
      </c>
      <c r="F11" s="1" t="str">
        <f>IF('Equipment list'!M11&gt;0,'Equipment list'!M11," ")</f>
        <v>x</v>
      </c>
      <c r="G11" s="1" t="str">
        <f>IF('Equipment list'!N11&gt;0,'Equipment list'!N11," ")</f>
        <v> </v>
      </c>
      <c r="H11" s="1" t="str">
        <f t="shared" si="0"/>
        <v>YL</v>
      </c>
      <c r="I11" s="15" t="str">
        <f aca="true" t="shared" si="1" ref="I11:I34">IF(AND(C11&gt;" ",D11=" "),"yes","  ")</f>
        <v>  </v>
      </c>
      <c r="J11" s="42"/>
      <c r="K11" s="52" t="s">
        <v>142</v>
      </c>
      <c r="L11" s="53">
        <f>COUNTIF(H7:H34,"Ybt")</f>
        <v>0</v>
      </c>
    </row>
    <row r="12" spans="1:12" ht="12.75">
      <c r="A12" s="16">
        <f>'Equipment list'!G12</f>
        <v>5</v>
      </c>
      <c r="B12" s="1">
        <f>'Equipment list'!H12</f>
        <v>1</v>
      </c>
      <c r="C12" s="1" t="str">
        <f>'Equipment list'!I12</f>
        <v>Yuengling Lager</v>
      </c>
      <c r="D12" s="1" t="str">
        <f>IF('Equipment list'!K12&gt;0,'Equipment list'!K12," ")</f>
        <v>Tiffany</v>
      </c>
      <c r="E12" s="1" t="str">
        <f>IF('Equipment list'!L12&gt;0,'Equipment list'!L12," ")</f>
        <v> </v>
      </c>
      <c r="F12" s="1" t="str">
        <f>IF('Equipment list'!M12&gt;0,'Equipment list'!M12," ")</f>
        <v> </v>
      </c>
      <c r="G12" s="1" t="str">
        <f>IF('Equipment list'!N12&gt;0,'Equipment list'!N12," ")</f>
        <v> </v>
      </c>
      <c r="H12" s="1" t="str">
        <f t="shared" si="0"/>
        <v> </v>
      </c>
      <c r="I12" s="15" t="str">
        <f t="shared" si="1"/>
        <v>  </v>
      </c>
      <c r="J12" s="42"/>
      <c r="K12" s="52" t="s">
        <v>119</v>
      </c>
      <c r="L12" s="53">
        <f>COUNTIF(H7:H34,"mL")</f>
        <v>0</v>
      </c>
    </row>
    <row r="13" spans="1:12" ht="12.75">
      <c r="A13" s="16">
        <f>'Equipment list'!G13</f>
        <v>6</v>
      </c>
      <c r="B13" s="1">
        <f>'Equipment list'!H13</f>
        <v>1</v>
      </c>
      <c r="C13" s="1" t="str">
        <f>'Equipment list'!I13</f>
        <v>Miller Lite</v>
      </c>
      <c r="D13" s="1" t="str">
        <f>IF('Equipment list'!K13&gt;0,'Equipment list'!K13," ")</f>
        <v>Kirsten</v>
      </c>
      <c r="E13" s="1" t="str">
        <f>IF('Equipment list'!L13&gt;0,'Equipment list'!L13," ")</f>
        <v> </v>
      </c>
      <c r="F13" s="1" t="str">
        <f>IF('Equipment list'!M13&gt;0,'Equipment list'!M13," ")</f>
        <v> </v>
      </c>
      <c r="G13" s="1" t="str">
        <f>IF('Equipment list'!N13&gt;0,'Equipment list'!N13," ")</f>
        <v> </v>
      </c>
      <c r="H13" s="1" t="str">
        <f t="shared" si="0"/>
        <v> </v>
      </c>
      <c r="I13" s="15" t="str">
        <f t="shared" si="1"/>
        <v>  </v>
      </c>
      <c r="J13" s="42"/>
      <c r="K13" s="52" t="s">
        <v>117</v>
      </c>
      <c r="L13" s="53">
        <f>COUNTIF(H7:H34,"other")</f>
        <v>1</v>
      </c>
    </row>
    <row r="14" spans="1:12" ht="13.5" thickBot="1">
      <c r="A14" s="16">
        <f>'Equipment list'!G14</f>
        <v>7</v>
      </c>
      <c r="B14" s="1">
        <f>'Equipment list'!H14</f>
        <v>1</v>
      </c>
      <c r="C14" s="1" t="str">
        <f>'Equipment list'!I14</f>
        <v>Yuengling Lager</v>
      </c>
      <c r="D14" s="1" t="str">
        <f>IF('Equipment list'!K14&gt;0,'Equipment list'!K14," ")</f>
        <v>Bethers</v>
      </c>
      <c r="E14" s="1" t="str">
        <f>IF('Equipment list'!L14&gt;0,'Equipment list'!L14," ")</f>
        <v> </v>
      </c>
      <c r="F14" s="1" t="str">
        <f>IF('Equipment list'!M14&gt;0,'Equipment list'!M14," ")</f>
        <v> </v>
      </c>
      <c r="G14" s="1" t="str">
        <f>IF('Equipment list'!N14&gt;0,'Equipment list'!N14," ")</f>
        <v> </v>
      </c>
      <c r="H14" s="1" t="str">
        <f t="shared" si="0"/>
        <v> </v>
      </c>
      <c r="I14" s="15" t="str">
        <f t="shared" si="1"/>
        <v>  </v>
      </c>
      <c r="J14" s="42"/>
      <c r="K14" s="54"/>
      <c r="L14" s="55"/>
    </row>
    <row r="15" spans="1:10" ht="12.75">
      <c r="A15" s="16">
        <f>'Equipment list'!G15</f>
        <v>8</v>
      </c>
      <c r="B15" s="1">
        <f>'Equipment list'!H15</f>
        <v>1</v>
      </c>
      <c r="C15" s="1" t="str">
        <f>'Equipment list'!I15</f>
        <v>Yuengling Lager</v>
      </c>
      <c r="D15" s="1" t="str">
        <f>IF('Equipment list'!K15&gt;0,'Equipment list'!K15," ")</f>
        <v>BLB</v>
      </c>
      <c r="E15" s="1" t="str">
        <f>IF('Equipment list'!L15&gt;0,'Equipment list'!L15," ")</f>
        <v> </v>
      </c>
      <c r="F15" s="1" t="str">
        <f>IF('Equipment list'!M15&gt;0,'Equipment list'!M15," ")</f>
        <v>x</v>
      </c>
      <c r="G15" s="1" t="str">
        <f>IF('Equipment list'!N15&gt;0,'Equipment list'!N15," ")</f>
        <v> </v>
      </c>
      <c r="H15" s="1" t="str">
        <f t="shared" si="0"/>
        <v>YL</v>
      </c>
      <c r="I15" s="15" t="str">
        <f t="shared" si="1"/>
        <v>  </v>
      </c>
      <c r="J15" s="42"/>
    </row>
    <row r="16" spans="1:10" ht="12.75">
      <c r="A16" s="16">
        <f>'Equipment list'!G16</f>
        <v>9</v>
      </c>
      <c r="B16" s="1">
        <f>'Equipment list'!H16</f>
        <v>1</v>
      </c>
      <c r="C16" s="1" t="str">
        <f>'Equipment list'!I16</f>
        <v>Yuengling Lager</v>
      </c>
      <c r="D16" s="1" t="str">
        <f>IF('Equipment list'!K16&gt;0,'Equipment list'!K16," ")</f>
        <v>Shelley</v>
      </c>
      <c r="E16" s="1" t="str">
        <f>IF('Equipment list'!L16&gt;0,'Equipment list'!L16," ")</f>
        <v> </v>
      </c>
      <c r="F16" s="1" t="str">
        <f>IF('Equipment list'!M16&gt;0,'Equipment list'!M16," ")</f>
        <v> </v>
      </c>
      <c r="G16" s="1" t="str">
        <f>IF('Equipment list'!N16&gt;0,'Equipment list'!N16," ")</f>
        <v> </v>
      </c>
      <c r="H16" s="1" t="str">
        <f>IF(AND(C16="Yuengling Lager",F16="x"),"YL",IF(AND(C16="Miller Lite",F16="X"),"ML",IF(AND(C16="Yuengling Black and Tan",F16="X"),"YBT",IF(AND(C16="Yuengling Light lager",F16="X"),"YLL",IF((F16="x"),"Other"," ")))))</f>
        <v> </v>
      </c>
      <c r="I16" s="15" t="str">
        <f>IF(AND(C16&gt;" ",D16=" "),"yes","  ")</f>
        <v>  </v>
      </c>
      <c r="J16" s="42"/>
    </row>
    <row r="17" spans="1:10" ht="12.75">
      <c r="A17" s="16">
        <f>'Equipment list'!G17</f>
        <v>10</v>
      </c>
      <c r="B17" s="1">
        <f>'Equipment list'!H17</f>
        <v>1</v>
      </c>
      <c r="C17" s="1" t="str">
        <f>'Equipment list'!I17</f>
        <v>Yuengling Lager</v>
      </c>
      <c r="D17" s="1" t="str">
        <f>IF('Equipment list'!K17&gt;0,'Equipment list'!K17," ")</f>
        <v>Shelley</v>
      </c>
      <c r="E17" s="1" t="str">
        <f>IF('Equipment list'!L17&gt;0,'Equipment list'!L17," ")</f>
        <v> </v>
      </c>
      <c r="F17" s="1" t="str">
        <f>IF('Equipment list'!M17&gt;0,'Equipment list'!M17," ")</f>
        <v> </v>
      </c>
      <c r="G17" s="1" t="str">
        <f>IF('Equipment list'!N17&gt;0,'Equipment list'!N17," ")</f>
        <v> </v>
      </c>
      <c r="H17" s="1" t="str">
        <f>IF(AND(C17="Yuengling Lager",F17="x"),"YL",IF(AND(C17="Miller Lite",F17="X"),"ML",IF(AND(C17="Yuengling Black and Tan",F17="X"),"YBT",IF(AND(C17="Yuengling Light lager",F17="X"),"YLL",IF((F17="x"),"Other"," ")))))</f>
        <v> </v>
      </c>
      <c r="I17" s="15" t="str">
        <f>IF(AND(C17&gt;" ",D17=" "),"yes","  ")</f>
        <v>  </v>
      </c>
      <c r="J17" s="42"/>
    </row>
    <row r="18" spans="1:10" ht="12.75">
      <c r="A18" s="16">
        <f>'Equipment list'!G19</f>
        <v>12</v>
      </c>
      <c r="B18" s="1">
        <f>'Equipment list'!H19</f>
        <v>1</v>
      </c>
      <c r="C18" s="1" t="str">
        <f>'Equipment list'!I18</f>
        <v>Yuengling Lager</v>
      </c>
      <c r="D18" s="1" t="str">
        <f>IF('Equipment list'!K18&gt;0,'Equipment list'!K18," ")</f>
        <v>Jessi</v>
      </c>
      <c r="E18" s="1" t="str">
        <f>IF('Equipment list'!L18&gt;0,'Equipment list'!L18," ")</f>
        <v> </v>
      </c>
      <c r="F18" s="1" t="str">
        <f>IF('Equipment list'!M18&gt;0,'Equipment list'!M18," ")</f>
        <v> </v>
      </c>
      <c r="G18" s="1" t="str">
        <f>IF('Equipment list'!N18&gt;0,'Equipment list'!N18," ")</f>
        <v> </v>
      </c>
      <c r="H18" s="1" t="str">
        <f>IF(AND(C18="Yuengling Lager",F18="x"),"YL",IF(AND(C18="Miller Lite",F18="X"),"ML",IF(AND(C18="Yuengling Black and Tan",F18="X"),"YBT",IF(AND(C18="Yuengling Light lager",F18="X"),"YLL",IF((F18="x"),"Other"," ")))))</f>
        <v> </v>
      </c>
      <c r="I18" s="15" t="str">
        <f>IF(AND(C18&gt;" ",D18=" "),"yes","  ")</f>
        <v>  </v>
      </c>
      <c r="J18" s="42"/>
    </row>
    <row r="19" spans="1:10" ht="12.75">
      <c r="A19" s="16">
        <f>'Equipment list'!G20</f>
        <v>13</v>
      </c>
      <c r="B19" s="1">
        <f>'Equipment list'!H20</f>
        <v>1</v>
      </c>
      <c r="C19" s="1" t="str">
        <f>'Equipment list'!I19</f>
        <v>Yuengling Lager</v>
      </c>
      <c r="D19" s="1" t="str">
        <f>IF('Equipment list'!K19&gt;0,'Equipment list'!K19," ")</f>
        <v>Jessi</v>
      </c>
      <c r="E19" s="1" t="str">
        <f>IF('Equipment list'!L19&gt;0,'Equipment list'!L19," ")</f>
        <v> </v>
      </c>
      <c r="F19" s="1" t="str">
        <f>IF('Equipment list'!M19&gt;0,'Equipment list'!M19," ")</f>
        <v> </v>
      </c>
      <c r="G19" s="1" t="str">
        <f>IF('Equipment list'!N19&gt;0,'Equipment list'!N19," ")</f>
        <v> </v>
      </c>
      <c r="H19" s="1" t="str">
        <f>IF(AND(C19="Yuengling Lager",F19="x"),"YL",IF(AND(C19="Miller Lite",F19="X"),"ML",IF(AND(C19="Yuengling Black and Tan",F19="X"),"YBT",IF(AND(C19="Yuengling Light lager",F19="X"),"YLL",IF((F19="x"),"Other"," ")))))</f>
        <v> </v>
      </c>
      <c r="I19" s="15" t="str">
        <f>IF(AND(C19&gt;" ",D19=" "),"yes","  ")</f>
        <v>  </v>
      </c>
      <c r="J19" s="42"/>
    </row>
    <row r="20" spans="1:10" ht="12.75">
      <c r="A20" s="16">
        <f>'Equipment list'!G21</f>
        <v>14</v>
      </c>
      <c r="B20" s="1">
        <f>'Equipment list'!H21</f>
        <v>0</v>
      </c>
      <c r="C20" s="1" t="str">
        <f>'Equipment list'!I20</f>
        <v>Yuengling Black &amp; Tan</v>
      </c>
      <c r="D20" s="1" t="str">
        <f>IF('Equipment list'!K20&gt;0,'Equipment list'!K20," ")</f>
        <v> </v>
      </c>
      <c r="E20" s="1" t="str">
        <f>IF('Equipment list'!L20&gt;0,'Equipment list'!L20," ")</f>
        <v> </v>
      </c>
      <c r="F20" s="1" t="str">
        <f>IF('Equipment list'!M20&gt;0,'Equipment list'!M20," ")</f>
        <v> </v>
      </c>
      <c r="G20" s="1" t="str">
        <f>IF('Equipment list'!N20&gt;0,'Equipment list'!N20," ")</f>
        <v> </v>
      </c>
      <c r="H20" s="1" t="str">
        <f>IF(AND(C20="Yuengling Lager",F20="x"),"YL",IF(AND(C20="Miller Lite",F20="X"),"ML",IF(AND(C20="Yuengling Black and Tan",F20="X"),"YBT",IF(AND(C20="Yuengling Light lager",F20="X"),"YLL",IF((F20="x"),"Other"," ")))))</f>
        <v> </v>
      </c>
      <c r="I20" s="15" t="str">
        <f>IF(AND(C20&gt;" ",D20=" "),"yes","  ")</f>
        <v>yes</v>
      </c>
      <c r="J20" s="42"/>
    </row>
    <row r="21" spans="1:10" ht="12.75">
      <c r="A21" s="16">
        <f>'Equipment list'!G22</f>
        <v>15</v>
      </c>
      <c r="B21" s="1">
        <f>'Equipment list'!H22</f>
        <v>0</v>
      </c>
      <c r="C21" s="1" t="str">
        <f>'Equipment list'!I21</f>
        <v> </v>
      </c>
      <c r="D21" s="1" t="str">
        <f>IF('Equipment list'!K21&gt;0,'Equipment list'!K21," ")</f>
        <v> </v>
      </c>
      <c r="E21" s="1" t="str">
        <f>IF('Equipment list'!L21&gt;0,'Equipment list'!L21," ")</f>
        <v> </v>
      </c>
      <c r="F21" s="1" t="str">
        <f>IF('Equipment list'!M21&gt;0,'Equipment list'!M21," ")</f>
        <v> </v>
      </c>
      <c r="G21" s="1" t="str">
        <f>IF('Equipment list'!N21&gt;0,'Equipment list'!N21," ")</f>
        <v> </v>
      </c>
      <c r="H21" s="1" t="str">
        <f t="shared" si="0"/>
        <v> </v>
      </c>
      <c r="I21" s="15" t="str">
        <f t="shared" si="1"/>
        <v>  </v>
      </c>
      <c r="J21" s="42"/>
    </row>
    <row r="22" spans="1:10" ht="12.75">
      <c r="A22" s="16">
        <f>'Equipment list'!G23</f>
        <v>16</v>
      </c>
      <c r="B22" s="1">
        <f>'Equipment list'!H23</f>
        <v>0</v>
      </c>
      <c r="C22" s="1" t="str">
        <f>'Equipment list'!I22</f>
        <v> </v>
      </c>
      <c r="D22" s="1" t="str">
        <f>IF('Equipment list'!K22&gt;0,'Equipment list'!K22," ")</f>
        <v> </v>
      </c>
      <c r="E22" s="1" t="str">
        <f>IF('Equipment list'!L22&gt;0,'Equipment list'!L22," ")</f>
        <v> </v>
      </c>
      <c r="F22" s="1" t="str">
        <f>IF('Equipment list'!M22&gt;0,'Equipment list'!M22," ")</f>
        <v> </v>
      </c>
      <c r="G22" s="1" t="str">
        <f>IF('Equipment list'!N22&gt;0,'Equipment list'!N22," ")</f>
        <v> </v>
      </c>
      <c r="H22" s="1" t="str">
        <f t="shared" si="0"/>
        <v> </v>
      </c>
      <c r="I22" s="15" t="str">
        <f t="shared" si="1"/>
        <v>  </v>
      </c>
      <c r="J22" s="42"/>
    </row>
    <row r="23" spans="1:10" ht="12.75">
      <c r="A23" s="16">
        <f>'Equipment list'!G24</f>
        <v>17</v>
      </c>
      <c r="B23" s="1">
        <f>'Equipment list'!H24</f>
        <v>0</v>
      </c>
      <c r="C23" s="1" t="str">
        <f>'Equipment list'!I23</f>
        <v> </v>
      </c>
      <c r="D23" s="1" t="str">
        <f>IF('Equipment list'!K23&gt;0,'Equipment list'!K23," ")</f>
        <v> </v>
      </c>
      <c r="E23" s="1">
        <f>'Equipment list'!L24</f>
        <v>0</v>
      </c>
      <c r="F23" s="1" t="str">
        <f>IF('Equipment list'!M23&gt;0,'Equipment list'!M23," ")</f>
        <v> </v>
      </c>
      <c r="G23" s="1" t="str">
        <f>IF('Equipment list'!N24&gt;0,'Equipment list'!N24," ")</f>
        <v> </v>
      </c>
      <c r="H23" s="1" t="str">
        <f aca="true" t="shared" si="2" ref="H23:H34">IF(AND(C23="Yuengling Lager",F23="x"),"YL",IF(AND(C23="Miller Lite",F23="X"),"ML",IF(AND(C23="Yuengling Black and Tan",F23="X"),"YBT",IF(AND(C23="Yuengling Light lager",F23="X"),"YLL",IF((F23="x"),"Other"," ")))))</f>
        <v> </v>
      </c>
      <c r="I23" s="15" t="str">
        <f t="shared" si="1"/>
        <v>  </v>
      </c>
      <c r="J23" s="42"/>
    </row>
    <row r="24" spans="1:10" ht="12.75">
      <c r="A24" s="16">
        <f>'Equipment list'!G25</f>
        <v>18</v>
      </c>
      <c r="B24" s="1">
        <f>'Equipment list'!H25</f>
        <v>0</v>
      </c>
      <c r="C24" s="1" t="str">
        <f>'Equipment list'!I24</f>
        <v> </v>
      </c>
      <c r="D24" s="1" t="str">
        <f>IF('Equipment list'!K24&gt;0,'Equipment list'!K24," ")</f>
        <v> </v>
      </c>
      <c r="E24" s="1">
        <f>'Equipment list'!L25</f>
        <v>0</v>
      </c>
      <c r="F24" s="1" t="str">
        <f>IF('Equipment list'!M24&gt;0,'Equipment list'!M24," ")</f>
        <v> </v>
      </c>
      <c r="G24" s="1" t="str">
        <f>IF('Equipment list'!N25&gt;0,'Equipment list'!N25," ")</f>
        <v> </v>
      </c>
      <c r="H24" s="1" t="str">
        <f t="shared" si="2"/>
        <v> </v>
      </c>
      <c r="I24" s="15" t="str">
        <f t="shared" si="1"/>
        <v>  </v>
      </c>
      <c r="J24" s="42"/>
    </row>
    <row r="25" spans="1:10" ht="12.75">
      <c r="A25" s="16">
        <f>'Equipment list'!G26</f>
        <v>19</v>
      </c>
      <c r="B25" s="1">
        <f>'Equipment list'!H26</f>
        <v>0</v>
      </c>
      <c r="C25" s="1" t="str">
        <f>'Equipment list'!I25</f>
        <v> </v>
      </c>
      <c r="D25" s="1" t="str">
        <f>IF('Equipment list'!K25&gt;0,'Equipment list'!K25," ")</f>
        <v> </v>
      </c>
      <c r="E25" s="1">
        <f>'Equipment list'!L26</f>
        <v>0</v>
      </c>
      <c r="F25" s="1" t="str">
        <f>IF('Equipment list'!M25&gt;0,'Equipment list'!M25," ")</f>
        <v> </v>
      </c>
      <c r="G25" s="1" t="str">
        <f>IF('Equipment list'!N26&gt;0,'Equipment list'!N26," ")</f>
        <v> </v>
      </c>
      <c r="H25" s="1" t="str">
        <f t="shared" si="2"/>
        <v> </v>
      </c>
      <c r="I25" s="15" t="str">
        <f t="shared" si="1"/>
        <v>  </v>
      </c>
      <c r="J25" s="42"/>
    </row>
    <row r="26" spans="1:10" ht="12.75">
      <c r="A26" s="16">
        <f>'Equipment list'!G27</f>
        <v>20</v>
      </c>
      <c r="B26" s="1">
        <f>'Equipment list'!H27</f>
        <v>0</v>
      </c>
      <c r="C26" s="1" t="str">
        <f>'Equipment list'!I26</f>
        <v> </v>
      </c>
      <c r="D26" s="1" t="str">
        <f>IF('Equipment list'!K26&gt;0,'Equipment list'!K26," ")</f>
        <v> </v>
      </c>
      <c r="E26" s="1">
        <f>'Equipment list'!L27</f>
        <v>0</v>
      </c>
      <c r="F26" s="1" t="str">
        <f>IF('Equipment list'!M26&gt;0,'Equipment list'!M26," ")</f>
        <v> </v>
      </c>
      <c r="G26" s="1" t="str">
        <f>IF('Equipment list'!N27&gt;0,'Equipment list'!N27," ")</f>
        <v> </v>
      </c>
      <c r="H26" s="1" t="str">
        <f t="shared" si="2"/>
        <v> </v>
      </c>
      <c r="I26" s="15" t="str">
        <f t="shared" si="1"/>
        <v>  </v>
      </c>
      <c r="J26" s="42"/>
    </row>
    <row r="27" spans="1:10" ht="12.75">
      <c r="A27" s="16">
        <f>'Equipment list'!G28</f>
        <v>21</v>
      </c>
      <c r="B27" s="1">
        <f>'Equipment list'!H28</f>
        <v>0</v>
      </c>
      <c r="C27" s="1" t="str">
        <f>'Equipment list'!I27</f>
        <v> </v>
      </c>
      <c r="D27" s="1" t="str">
        <f>IF('Equipment list'!K28&gt;0,'Equipment list'!K28," ")</f>
        <v> </v>
      </c>
      <c r="E27" s="1">
        <f>'Equipment list'!L28</f>
        <v>0</v>
      </c>
      <c r="F27" s="1" t="str">
        <f>IF('Equipment list'!M27&gt;0,'Equipment list'!M27," ")</f>
        <v> </v>
      </c>
      <c r="G27" s="1" t="str">
        <f>IF('Equipment list'!N28&gt;0,'Equipment list'!N28," ")</f>
        <v> </v>
      </c>
      <c r="H27" s="1" t="str">
        <f t="shared" si="2"/>
        <v> </v>
      </c>
      <c r="I27" s="15" t="str">
        <f t="shared" si="1"/>
        <v>  </v>
      </c>
      <c r="J27" s="42"/>
    </row>
    <row r="28" spans="1:10" ht="12.75">
      <c r="A28" s="16">
        <f>'Equipment list'!G29</f>
        <v>22</v>
      </c>
      <c r="B28" s="1">
        <f>'Equipment list'!H29</f>
        <v>0</v>
      </c>
      <c r="C28" s="1" t="str">
        <f>'Equipment list'!I28</f>
        <v> </v>
      </c>
      <c r="D28" s="1" t="str">
        <f>IF('Equipment list'!K29&gt;0,'Equipment list'!K29," ")</f>
        <v> </v>
      </c>
      <c r="E28" s="1">
        <f>'Equipment list'!L29</f>
        <v>0</v>
      </c>
      <c r="F28" s="1" t="str">
        <f>IF('Equipment list'!M28&gt;0,'Equipment list'!M28," ")</f>
        <v> </v>
      </c>
      <c r="G28" s="1" t="str">
        <f>IF('Equipment list'!N29&gt;0,'Equipment list'!N29," ")</f>
        <v> </v>
      </c>
      <c r="H28" s="1" t="str">
        <f t="shared" si="2"/>
        <v> </v>
      </c>
      <c r="I28" s="15" t="str">
        <f t="shared" si="1"/>
        <v>  </v>
      </c>
      <c r="J28" s="42"/>
    </row>
    <row r="29" spans="1:10" ht="12.75">
      <c r="A29" s="16">
        <f>'Equipment list'!G30</f>
        <v>23</v>
      </c>
      <c r="B29" s="1">
        <f>'Equipment list'!H30</f>
        <v>0</v>
      </c>
      <c r="C29" s="1" t="str">
        <f>'Equipment list'!I29</f>
        <v> </v>
      </c>
      <c r="D29" s="1" t="str">
        <f>IF('Equipment list'!K30&gt;0,'Equipment list'!K30," ")</f>
        <v> </v>
      </c>
      <c r="E29" s="1">
        <f>'Equipment list'!L30</f>
        <v>0</v>
      </c>
      <c r="F29" s="1" t="str">
        <f>IF('Equipment list'!M29&gt;0,'Equipment list'!M29," ")</f>
        <v> </v>
      </c>
      <c r="G29" s="1" t="str">
        <f>IF('Equipment list'!N30&gt;0,'Equipment list'!N30," ")</f>
        <v> </v>
      </c>
      <c r="H29" s="1" t="str">
        <f t="shared" si="2"/>
        <v> </v>
      </c>
      <c r="I29" s="15" t="str">
        <f t="shared" si="1"/>
        <v>  </v>
      </c>
      <c r="J29" s="42"/>
    </row>
    <row r="30" spans="1:10" ht="12.75">
      <c r="A30" s="16">
        <f>'Equipment list'!G31</f>
        <v>24</v>
      </c>
      <c r="B30" s="1">
        <f>'Equipment list'!H31</f>
        <v>0</v>
      </c>
      <c r="C30" s="1" t="str">
        <f>'Equipment list'!I30</f>
        <v> </v>
      </c>
      <c r="D30" s="1" t="str">
        <f>IF('Equipment list'!K31&gt;0,'Equipment list'!K31," ")</f>
        <v> </v>
      </c>
      <c r="E30" s="1">
        <f>'Equipment list'!L31</f>
        <v>0</v>
      </c>
      <c r="F30" s="1" t="str">
        <f>IF('Equipment list'!M30&gt;0,'Equipment list'!M30," ")</f>
        <v> </v>
      </c>
      <c r="G30" s="1" t="str">
        <f>IF('Equipment list'!N31&gt;0,'Equipment list'!N31," ")</f>
        <v> </v>
      </c>
      <c r="H30" s="1" t="str">
        <f t="shared" si="2"/>
        <v> </v>
      </c>
      <c r="I30" s="15" t="str">
        <f t="shared" si="1"/>
        <v>  </v>
      </c>
      <c r="J30" s="42"/>
    </row>
    <row r="31" spans="1:9" ht="12.75">
      <c r="A31" s="16">
        <f>'Equipment list'!G32</f>
        <v>25</v>
      </c>
      <c r="B31" s="1">
        <f>'Equipment list'!H32</f>
        <v>0</v>
      </c>
      <c r="C31" s="1" t="str">
        <f>'Equipment list'!I31</f>
        <v> </v>
      </c>
      <c r="D31" s="1" t="str">
        <f>IF('Equipment list'!K32&gt;0,'Equipment list'!K32," ")</f>
        <v> </v>
      </c>
      <c r="E31" s="1">
        <f>'Equipment list'!L32</f>
        <v>0</v>
      </c>
      <c r="F31" s="1" t="str">
        <f>IF('Equipment list'!M31&gt;0,'Equipment list'!M31," ")</f>
        <v> </v>
      </c>
      <c r="G31" s="1" t="str">
        <f>IF('Equipment list'!N32&gt;0,'Equipment list'!N32," ")</f>
        <v> </v>
      </c>
      <c r="H31" s="1" t="str">
        <f t="shared" si="2"/>
        <v> </v>
      </c>
      <c r="I31" s="15" t="str">
        <f t="shared" si="1"/>
        <v>  </v>
      </c>
    </row>
    <row r="32" spans="1:9" ht="12.75">
      <c r="A32" s="16">
        <f>'Equipment list'!G33</f>
        <v>26</v>
      </c>
      <c r="B32" s="1">
        <f>'Equipment list'!H33</f>
        <v>0</v>
      </c>
      <c r="C32" s="1">
        <f>'Equipment list'!I33</f>
        <v>0</v>
      </c>
      <c r="D32" s="1" t="str">
        <f>IF('Equipment list'!K33&gt;0,'Equipment list'!K33," ")</f>
        <v> </v>
      </c>
      <c r="E32" s="1">
        <f>'Equipment list'!L33</f>
        <v>0</v>
      </c>
      <c r="F32" s="1" t="str">
        <f>IF('Equipment list'!M32&gt;0,'Equipment list'!M32," ")</f>
        <v> </v>
      </c>
      <c r="G32" s="1" t="str">
        <f>IF('Equipment list'!N33&gt;0,'Equipment list'!N33," ")</f>
        <v> </v>
      </c>
      <c r="H32" s="1" t="str">
        <f t="shared" si="2"/>
        <v> </v>
      </c>
      <c r="I32" s="15" t="str">
        <f t="shared" si="1"/>
        <v>  </v>
      </c>
    </row>
    <row r="33" spans="1:9" ht="12.75">
      <c r="A33" s="16">
        <f>'Equipment list'!G34</f>
        <v>27</v>
      </c>
      <c r="B33" s="1">
        <f>'Equipment list'!H34</f>
        <v>0</v>
      </c>
      <c r="C33" s="1" t="str">
        <f>'Equipment list'!I34</f>
        <v> </v>
      </c>
      <c r="D33" s="1" t="str">
        <f>IF('Equipment list'!K34&gt;0,'Equipment list'!K34," ")</f>
        <v> </v>
      </c>
      <c r="E33" s="1">
        <f>'Equipment list'!L34</f>
        <v>0</v>
      </c>
      <c r="F33" s="1" t="str">
        <f>IF('Equipment list'!M33&gt;0,'Equipment list'!M33," ")</f>
        <v> </v>
      </c>
      <c r="G33" s="1" t="str">
        <f>IF('Equipment list'!N34&gt;0,'Equipment list'!N34," ")</f>
        <v> </v>
      </c>
      <c r="H33" s="1" t="str">
        <f t="shared" si="2"/>
        <v> </v>
      </c>
      <c r="I33" s="15" t="str">
        <f t="shared" si="1"/>
        <v>  </v>
      </c>
    </row>
    <row r="34" spans="1:9" ht="12.75">
      <c r="A34" s="16">
        <f>'Equipment list'!G35</f>
        <v>28</v>
      </c>
      <c r="B34" s="1">
        <f>'Equipment list'!H35</f>
        <v>0</v>
      </c>
      <c r="C34" s="1" t="str">
        <f>'Equipment list'!I35</f>
        <v> </v>
      </c>
      <c r="D34" s="1" t="str">
        <f>IF('Equipment list'!K35&gt;0,'Equipment list'!K35," ")</f>
        <v> </v>
      </c>
      <c r="E34" s="1">
        <f>'Equipment list'!L35</f>
        <v>0</v>
      </c>
      <c r="F34" s="1" t="str">
        <f>IF('Equipment list'!M34&gt;0,'Equipment list'!M34," ")</f>
        <v> </v>
      </c>
      <c r="G34" s="1" t="str">
        <f>IF('Equipment list'!N35&gt;0,'Equipment list'!N35," ")</f>
        <v> </v>
      </c>
      <c r="H34" s="1" t="str">
        <f t="shared" si="2"/>
        <v> </v>
      </c>
      <c r="I34" s="15" t="str">
        <f t="shared" si="1"/>
        <v>  </v>
      </c>
    </row>
  </sheetData>
  <sheetProtection/>
  <printOptions/>
  <pageMargins left="0.75" right="0.75" top="1" bottom="1" header="0.5" footer="0.5"/>
  <pageSetup fitToHeight="1" fitToWidth="1" horizontalDpi="600" verticalDpi="600" orientation="portrait" scale="67" r:id="rId1"/>
</worksheet>
</file>

<file path=xl/worksheets/sheet4.xml><?xml version="1.0" encoding="utf-8"?>
<worksheet xmlns="http://schemas.openxmlformats.org/spreadsheetml/2006/main" xmlns:r="http://schemas.openxmlformats.org/officeDocument/2006/relationships">
  <sheetPr>
    <tabColor indexed="13"/>
  </sheetPr>
  <dimension ref="A2:G24"/>
  <sheetViews>
    <sheetView workbookViewId="0" topLeftCell="A1">
      <selection activeCell="I15" sqref="I15"/>
    </sheetView>
  </sheetViews>
  <sheetFormatPr defaultColWidth="9.140625" defaultRowHeight="12.75"/>
  <cols>
    <col min="1" max="1" width="17.7109375" style="0" bestFit="1" customWidth="1"/>
    <col min="2" max="2" width="53.00390625" style="0" bestFit="1" customWidth="1"/>
    <col min="3" max="3" width="7.8515625" style="0" bestFit="1" customWidth="1"/>
    <col min="5" max="5" width="18.140625" style="0" bestFit="1" customWidth="1"/>
    <col min="6" max="6" width="41.28125" style="0" bestFit="1" customWidth="1"/>
    <col min="7" max="7" width="7.8515625" style="0" bestFit="1" customWidth="1"/>
    <col min="8" max="8" width="6.57421875" style="0" customWidth="1"/>
    <col min="9" max="9" width="10.57421875" style="0" customWidth="1"/>
    <col min="10" max="19" width="26.00390625" style="0" customWidth="1"/>
    <col min="20" max="20" width="10.57421875" style="0" customWidth="1"/>
    <col min="21" max="73" width="26.57421875" style="0" bestFit="1" customWidth="1"/>
    <col min="74" max="74" width="10.57421875" style="0" bestFit="1" customWidth="1"/>
  </cols>
  <sheetData>
    <row r="2" spans="1:7" ht="20.25">
      <c r="A2" s="117"/>
      <c r="B2" s="117"/>
      <c r="C2" s="117"/>
      <c r="D2" s="117"/>
      <c r="E2" s="117"/>
      <c r="F2" s="117"/>
      <c r="G2" s="117"/>
    </row>
    <row r="3" spans="1:7" ht="20.25">
      <c r="A3" s="118" t="s">
        <v>194</v>
      </c>
      <c r="B3" s="119"/>
      <c r="C3" s="120"/>
      <c r="D3" s="117"/>
      <c r="E3" s="118" t="s">
        <v>202</v>
      </c>
      <c r="F3" s="119"/>
      <c r="G3" s="120"/>
    </row>
    <row r="4" spans="1:7" ht="20.25">
      <c r="A4" s="118" t="s">
        <v>193</v>
      </c>
      <c r="B4" s="118" t="s">
        <v>145</v>
      </c>
      <c r="C4" s="120" t="s">
        <v>203</v>
      </c>
      <c r="D4" s="117"/>
      <c r="E4" s="118" t="s">
        <v>193</v>
      </c>
      <c r="F4" s="118" t="s">
        <v>27</v>
      </c>
      <c r="G4" s="120" t="s">
        <v>203</v>
      </c>
    </row>
    <row r="5" spans="1:7" ht="20.25">
      <c r="A5" s="121">
        <v>1</v>
      </c>
      <c r="B5" s="121" t="s">
        <v>58</v>
      </c>
      <c r="C5" s="122">
        <v>1</v>
      </c>
      <c r="D5" s="117"/>
      <c r="E5" s="121">
        <v>1</v>
      </c>
      <c r="F5" s="121" t="s">
        <v>130</v>
      </c>
      <c r="G5" s="122">
        <v>1</v>
      </c>
    </row>
    <row r="6" spans="1:7" ht="20.25">
      <c r="A6" s="123"/>
      <c r="B6" s="124" t="s">
        <v>174</v>
      </c>
      <c r="C6" s="125">
        <v>1</v>
      </c>
      <c r="D6" s="117"/>
      <c r="E6" s="123"/>
      <c r="F6" s="124" t="s">
        <v>39</v>
      </c>
      <c r="G6" s="125">
        <v>1</v>
      </c>
    </row>
    <row r="7" spans="1:7" ht="20.25">
      <c r="A7" s="123"/>
      <c r="B7" s="124" t="s">
        <v>176</v>
      </c>
      <c r="C7" s="125">
        <v>1</v>
      </c>
      <c r="D7" s="117"/>
      <c r="E7" s="123"/>
      <c r="F7" s="124" t="s">
        <v>95</v>
      </c>
      <c r="G7" s="125">
        <v>1</v>
      </c>
    </row>
    <row r="8" spans="1:7" ht="20.25">
      <c r="A8" s="123"/>
      <c r="B8" s="124" t="s">
        <v>173</v>
      </c>
      <c r="C8" s="125">
        <v>1</v>
      </c>
      <c r="D8" s="117"/>
      <c r="E8" s="123"/>
      <c r="F8" s="124" t="s">
        <v>123</v>
      </c>
      <c r="G8" s="125">
        <v>1</v>
      </c>
    </row>
    <row r="9" spans="1:7" ht="20.25">
      <c r="A9" s="123"/>
      <c r="B9" s="124" t="s">
        <v>49</v>
      </c>
      <c r="C9" s="125">
        <v>1</v>
      </c>
      <c r="D9" s="117"/>
      <c r="E9" s="123"/>
      <c r="F9" s="124" t="s">
        <v>128</v>
      </c>
      <c r="G9" s="125">
        <v>1</v>
      </c>
    </row>
    <row r="10" spans="1:7" ht="20.25">
      <c r="A10" s="123"/>
      <c r="B10" s="124" t="s">
        <v>87</v>
      </c>
      <c r="C10" s="125">
        <v>1</v>
      </c>
      <c r="D10" s="117"/>
      <c r="E10" s="121" t="s">
        <v>197</v>
      </c>
      <c r="F10" s="119"/>
      <c r="G10" s="122">
        <v>5</v>
      </c>
    </row>
    <row r="11" spans="1:7" ht="20.25">
      <c r="A11" s="123"/>
      <c r="B11" s="124" t="s">
        <v>2</v>
      </c>
      <c r="C11" s="125">
        <v>1</v>
      </c>
      <c r="D11" s="117"/>
      <c r="E11" s="121">
        <v>2</v>
      </c>
      <c r="F11" s="121" t="s">
        <v>8</v>
      </c>
      <c r="G11" s="122">
        <v>1</v>
      </c>
    </row>
    <row r="12" spans="1:7" ht="20.25">
      <c r="A12" s="123"/>
      <c r="B12" s="124" t="s">
        <v>134</v>
      </c>
      <c r="C12" s="125">
        <v>1</v>
      </c>
      <c r="D12" s="117"/>
      <c r="E12" s="123"/>
      <c r="F12" s="124" t="s">
        <v>35</v>
      </c>
      <c r="G12" s="125">
        <v>1</v>
      </c>
    </row>
    <row r="13" spans="1:7" ht="20.25">
      <c r="A13" s="121" t="s">
        <v>200</v>
      </c>
      <c r="B13" s="119"/>
      <c r="C13" s="122">
        <v>8</v>
      </c>
      <c r="D13" s="117"/>
      <c r="E13" s="123"/>
      <c r="F13" s="124" t="s">
        <v>10</v>
      </c>
      <c r="G13" s="125">
        <v>1</v>
      </c>
    </row>
    <row r="14" spans="1:7" ht="20.25">
      <c r="A14" s="121">
        <v>2</v>
      </c>
      <c r="B14" s="121" t="s">
        <v>179</v>
      </c>
      <c r="C14" s="122">
        <v>1</v>
      </c>
      <c r="D14" s="117"/>
      <c r="E14" s="123"/>
      <c r="F14" s="124" t="s">
        <v>182</v>
      </c>
      <c r="G14" s="125">
        <v>1</v>
      </c>
    </row>
    <row r="15" spans="1:7" ht="20.25">
      <c r="A15" s="123"/>
      <c r="B15" s="124" t="s">
        <v>199</v>
      </c>
      <c r="C15" s="125">
        <v>1</v>
      </c>
      <c r="D15" s="117"/>
      <c r="E15" s="123"/>
      <c r="F15" s="124" t="s">
        <v>33</v>
      </c>
      <c r="G15" s="125">
        <v>1</v>
      </c>
    </row>
    <row r="16" spans="1:7" ht="20.25">
      <c r="A16" s="123"/>
      <c r="B16" s="124" t="s">
        <v>157</v>
      </c>
      <c r="C16" s="125">
        <v>1</v>
      </c>
      <c r="D16" s="117"/>
      <c r="E16" s="123"/>
      <c r="F16" s="124" t="s">
        <v>81</v>
      </c>
      <c r="G16" s="125">
        <v>1</v>
      </c>
    </row>
    <row r="17" spans="1:7" ht="20.25">
      <c r="A17" s="123"/>
      <c r="B17" s="124" t="s">
        <v>186</v>
      </c>
      <c r="C17" s="125">
        <v>1</v>
      </c>
      <c r="D17" s="117"/>
      <c r="E17" s="123"/>
      <c r="F17" s="124" t="s">
        <v>127</v>
      </c>
      <c r="G17" s="125">
        <v>1</v>
      </c>
    </row>
    <row r="18" spans="1:7" ht="20.25">
      <c r="A18" s="123"/>
      <c r="B18" s="124" t="s">
        <v>44</v>
      </c>
      <c r="C18" s="125">
        <v>1</v>
      </c>
      <c r="D18" s="117"/>
      <c r="E18" s="123"/>
      <c r="F18" s="124" t="s">
        <v>9</v>
      </c>
      <c r="G18" s="125">
        <v>1</v>
      </c>
    </row>
    <row r="19" spans="1:7" ht="20.25">
      <c r="A19" s="123"/>
      <c r="B19" s="124" t="s">
        <v>177</v>
      </c>
      <c r="C19" s="125">
        <v>1</v>
      </c>
      <c r="D19" s="117"/>
      <c r="E19" s="123"/>
      <c r="F19" s="124" t="s">
        <v>26</v>
      </c>
      <c r="G19" s="125">
        <v>1</v>
      </c>
    </row>
    <row r="20" spans="1:7" ht="20.25">
      <c r="A20" s="123"/>
      <c r="B20" s="124" t="s">
        <v>72</v>
      </c>
      <c r="C20" s="125">
        <v>1</v>
      </c>
      <c r="D20" s="117"/>
      <c r="E20" s="121" t="s">
        <v>198</v>
      </c>
      <c r="F20" s="119"/>
      <c r="G20" s="122">
        <v>9</v>
      </c>
    </row>
    <row r="21" spans="1:7" ht="20.25">
      <c r="A21" s="121" t="s">
        <v>201</v>
      </c>
      <c r="B21" s="119"/>
      <c r="C21" s="122">
        <v>7</v>
      </c>
      <c r="D21" s="117"/>
      <c r="E21" s="126" t="s">
        <v>195</v>
      </c>
      <c r="F21" s="127"/>
      <c r="G21" s="128">
        <v>14</v>
      </c>
    </row>
    <row r="22" spans="1:7" ht="20.25">
      <c r="A22" s="126" t="s">
        <v>195</v>
      </c>
      <c r="B22" s="127"/>
      <c r="C22" s="128">
        <v>15</v>
      </c>
      <c r="D22" s="117"/>
      <c r="E22" s="117"/>
      <c r="F22" s="117"/>
      <c r="G22" s="117"/>
    </row>
    <row r="23" spans="1:7" ht="20.25">
      <c r="A23" s="117"/>
      <c r="B23" s="117"/>
      <c r="C23" s="117"/>
      <c r="D23" s="117"/>
      <c r="E23" s="117"/>
      <c r="F23" s="117"/>
      <c r="G23" s="117"/>
    </row>
    <row r="24" spans="1:7" ht="20.25">
      <c r="A24" s="117"/>
      <c r="B24" s="117"/>
      <c r="C24" s="117"/>
      <c r="D24" s="117"/>
      <c r="E24" s="117"/>
      <c r="F24" s="117"/>
      <c r="G24" s="117"/>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1"/>
  </sheetPr>
  <dimension ref="A1:E13"/>
  <sheetViews>
    <sheetView workbookViewId="0" topLeftCell="A1">
      <selection activeCell="A1" sqref="A1"/>
    </sheetView>
  </sheetViews>
  <sheetFormatPr defaultColWidth="9.140625" defaultRowHeight="12.75"/>
  <cols>
    <col min="3" max="3" width="20.7109375" style="0" bestFit="1" customWidth="1"/>
  </cols>
  <sheetData>
    <row r="1" ht="12.75">
      <c r="A1" s="18" t="s">
        <v>143</v>
      </c>
    </row>
    <row r="2" ht="12.75">
      <c r="A2" s="41" t="s">
        <v>144</v>
      </c>
    </row>
    <row r="3" ht="12.75">
      <c r="A3" s="18"/>
    </row>
    <row r="5" spans="1:2" ht="12.75">
      <c r="A5" s="2" t="s">
        <v>11</v>
      </c>
      <c r="B5" s="2" t="s">
        <v>12</v>
      </c>
    </row>
    <row r="6" spans="1:4" ht="12.75">
      <c r="A6">
        <f>'Equipment list'!A33</f>
        <v>0.4</v>
      </c>
      <c r="B6">
        <f>'Equipment list'!B33</f>
        <v>13</v>
      </c>
      <c r="C6" t="str">
        <f>'Equipment list'!C33</f>
        <v>Fiesta Burgers</v>
      </c>
      <c r="D6" t="str">
        <f>'Equipment list'!E33</f>
        <v>BLB</v>
      </c>
    </row>
    <row r="8" spans="3:5" ht="12.75">
      <c r="C8" s="12" t="s">
        <v>60</v>
      </c>
      <c r="E8" s="2"/>
    </row>
    <row r="9" spans="2:5" ht="12.75">
      <c r="B9">
        <f>(B6)*0.2</f>
        <v>2.6</v>
      </c>
      <c r="C9" t="s">
        <v>61</v>
      </c>
      <c r="E9" s="2"/>
    </row>
    <row r="10" spans="2:5" ht="12.75">
      <c r="B10">
        <f>ROUNDUP(B9/3,0)</f>
        <v>1</v>
      </c>
      <c r="C10" t="s">
        <v>55</v>
      </c>
      <c r="E10" s="2"/>
    </row>
    <row r="11" spans="2:5" ht="12.75">
      <c r="B11">
        <f>ROUNDUP(0.5*B10,0)</f>
        <v>1</v>
      </c>
      <c r="C11" t="s">
        <v>62</v>
      </c>
      <c r="E11" s="2"/>
    </row>
    <row r="12" spans="2:5" ht="12.75">
      <c r="B12">
        <f>B10*0.25</f>
        <v>0.25</v>
      </c>
      <c r="C12" t="s">
        <v>63</v>
      </c>
      <c r="E12" s="2"/>
    </row>
    <row r="13" spans="3:5" ht="12.75">
      <c r="C13" t="s">
        <v>213</v>
      </c>
      <c r="E13" s="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dc:creator>
  <cp:keywords/>
  <dc:description/>
  <cp:lastModifiedBy>Rob Milnes</cp:lastModifiedBy>
  <cp:lastPrinted>2007-10-09T21:20:01Z</cp:lastPrinted>
  <dcterms:created xsi:type="dcterms:W3CDTF">2003-10-06T14:03:40Z</dcterms:created>
  <dcterms:modified xsi:type="dcterms:W3CDTF">2007-10-11T01:58:19Z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